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cconline-my.sharepoint.com/personal/nelly_haapalainen_ncc_fi/Documents/Tiedostot/"/>
    </mc:Choice>
  </mc:AlternateContent>
  <xr:revisionPtr revIDLastSave="0" documentId="8_{C67ABFBF-6B61-4DDB-8ADD-1915F885A426}" xr6:coauthVersionLast="47" xr6:coauthVersionMax="47" xr10:uidLastSave="{00000000-0000-0000-0000-000000000000}"/>
  <bookViews>
    <workbookView xWindow="-108" yWindow="-108" windowWidth="23256" windowHeight="12576" xr2:uid="{BC6EC87C-2FB5-4F69-8B96-12855E26755E}"/>
  </bookViews>
  <sheets>
    <sheet name="HIILIJALANJÄLKILASKURI" sheetId="3" r:id="rId1"/>
    <sheet name="LASKURI + LIPASTO, ÄLÄ MUUTA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B48" i="2"/>
  <c r="B45" i="2"/>
  <c r="B51" i="2"/>
  <c r="B50" i="2"/>
  <c r="B28" i="2"/>
  <c r="B25" i="2"/>
  <c r="B24" i="2"/>
  <c r="B23" i="2"/>
  <c r="B20" i="2"/>
  <c r="B19" i="2"/>
  <c r="B18" i="2"/>
  <c r="J38" i="2"/>
  <c r="J37" i="2"/>
  <c r="J36" i="2"/>
  <c r="J34" i="2"/>
  <c r="J33" i="2"/>
  <c r="J32" i="2"/>
  <c r="J31" i="2"/>
  <c r="J14" i="2"/>
  <c r="J13" i="2"/>
  <c r="J7" i="2"/>
  <c r="J43" i="2"/>
  <c r="J25" i="2"/>
  <c r="J11" i="2"/>
  <c r="B13" i="2" l="1"/>
  <c r="B12" i="2"/>
  <c r="B9" i="2"/>
  <c r="A13" i="2"/>
  <c r="A12" i="2"/>
  <c r="J8" i="2"/>
  <c r="J5" i="2"/>
  <c r="J10" i="2" l="1"/>
  <c r="J15" i="2" l="1"/>
  <c r="A9" i="2" l="1"/>
  <c r="G30" i="2"/>
  <c r="G29" i="2"/>
  <c r="G28" i="2"/>
  <c r="G27" i="2"/>
  <c r="J16" i="2" l="1"/>
  <c r="A4" i="2"/>
  <c r="A5" i="2"/>
  <c r="A6" i="2"/>
  <c r="A7" i="2"/>
  <c r="A10" i="2"/>
  <c r="B10" i="2"/>
  <c r="B7" i="2"/>
  <c r="B6" i="2"/>
  <c r="B5" i="2"/>
  <c r="B4" i="2"/>
  <c r="J6" i="2" l="1"/>
  <c r="J23" i="2" l="1"/>
  <c r="J22" i="2"/>
  <c r="J19" i="2"/>
  <c r="J41" i="2"/>
  <c r="J40" i="2"/>
  <c r="J18" i="2"/>
  <c r="J24" i="2" l="1"/>
  <c r="J20" i="2"/>
  <c r="J42" i="2"/>
  <c r="J46" i="2" s="1"/>
  <c r="B37" i="2" s="1"/>
  <c r="J26" i="2" l="1"/>
  <c r="J28" i="2"/>
  <c r="J29" i="2" s="1"/>
  <c r="B34" i="2" s="1"/>
  <c r="C28" i="3"/>
  <c r="J44" i="2"/>
  <c r="B36" i="2" s="1"/>
  <c r="C34" i="3" s="1"/>
  <c r="C23" i="3"/>
  <c r="B33" i="2" l="1"/>
  <c r="B32" i="2"/>
  <c r="C31" i="3" s="1"/>
  <c r="C26" i="3"/>
  <c r="B40" i="2"/>
  <c r="J47" i="2"/>
  <c r="B38" i="2" s="1"/>
  <c r="B47" i="2" s="1"/>
  <c r="C42" i="3" s="1"/>
  <c r="C22" i="3"/>
  <c r="C24" i="3" s="1"/>
  <c r="C33" i="3"/>
  <c r="C27" i="3"/>
  <c r="C32" i="3"/>
  <c r="B54" i="2" l="1"/>
  <c r="C44" i="3" s="1"/>
  <c r="B44" i="2"/>
  <c r="B41" i="2"/>
  <c r="C36" i="3"/>
  <c r="C38" i="3" s="1"/>
  <c r="C35" i="3"/>
  <c r="C37" i="3" s="1"/>
  <c r="C41" i="3" l="1"/>
  <c r="C43" i="3" l="1"/>
</calcChain>
</file>

<file path=xl/sharedStrings.xml><?xml version="1.0" encoding="utf-8"?>
<sst xmlns="http://schemas.openxmlformats.org/spreadsheetml/2006/main" count="326" uniqueCount="109">
  <si>
    <t>Maantieajo</t>
  </si>
  <si>
    <t>Päästötaso</t>
  </si>
  <si>
    <t>tyhjä</t>
  </si>
  <si>
    <t xml:space="preserve"> täysi kuorma (19 t)</t>
  </si>
  <si>
    <t>--&gt; 1993</t>
  </si>
  <si>
    <t>EURO I (1994 - 1995)</t>
  </si>
  <si>
    <t>EURO II (1996 - 2000)</t>
  </si>
  <si>
    <t>EURO III (2001 - 2005)</t>
  </si>
  <si>
    <t>EURO IV (2006 - 2008)</t>
  </si>
  <si>
    <t>EURO V (2009 - 2014 )</t>
  </si>
  <si>
    <t>EURO VI (2015 --&gt;</t>
  </si>
  <si>
    <t>keskimäärin v. 2016</t>
  </si>
  <si>
    <t>Kulutus  [l/100 km]</t>
  </si>
  <si>
    <t>CO2 ekv. [g/km]</t>
  </si>
  <si>
    <t xml:space="preserve"> täysi kuorma (25 t)</t>
  </si>
  <si>
    <t xml:space="preserve"> täysi kuorma (40 t)</t>
  </si>
  <si>
    <t xml:space="preserve"> täysi kuorma (51 t)</t>
  </si>
  <si>
    <t>Hiilijalanjälkilaskuri</t>
  </si>
  <si>
    <t>Ajoneuvotyyppi</t>
  </si>
  <si>
    <t>Maansiirtoauto ilman perävaunua, Kokonaismassa 32 t, kantavuus 19 t</t>
  </si>
  <si>
    <t>Puoliperävaunulla varustettu yhdistelmä, Kokonaismassa 40 t, kantavuus 25 t</t>
  </si>
  <si>
    <t>Varsinaisella perävaunulla varustettu yhdistelmä, Kokonaismassa 60 t, kantavuus 40 t</t>
  </si>
  <si>
    <t>Varsinaisella perävaunulla varustettu yhdistelmä, Kokonaismassa 76 t, kantavuus 51 t, 9 akselia</t>
  </si>
  <si>
    <t>Kokonaismassa 60 t, kantavuus 40 t (Varsinaisella perävaunulla varustettu yhdistelmä)</t>
  </si>
  <si>
    <t>Kokonaismassa 40 t, kantavuus 25 t (Puoliperävaunulla varustettu yhdistelmä)</t>
  </si>
  <si>
    <t>Kokonaismassa 32 t, kantavuus 19 t (Maansiirtoauto ilman perävaunua)</t>
  </si>
  <si>
    <t>Kokonaismassa 76 t, kantavuus 51 t, 9 akselia (Varsinaisella perävaunulla varustettu yhdistelmä)</t>
  </si>
  <si>
    <t>Diesel-polttoaineen hinta (€/litra)</t>
  </si>
  <si>
    <t>Kuljetusmatkan pituus (km)</t>
  </si>
  <si>
    <t>Valitse alasvetovalikosta</t>
  </si>
  <si>
    <t>Valinnat</t>
  </si>
  <si>
    <t>Kokonaispäästö</t>
  </si>
  <si>
    <t>gCO2ekv</t>
  </si>
  <si>
    <t>kgCO2ekv</t>
  </si>
  <si>
    <t>gCO2ekv/ton/km</t>
  </si>
  <si>
    <t>km</t>
  </si>
  <si>
    <t>ton</t>
  </si>
  <si>
    <t>gCO2ekv/km</t>
  </si>
  <si>
    <t>l/km</t>
  </si>
  <si>
    <t>HIILIJALANJÄLKILASKURI</t>
  </si>
  <si>
    <t>Syötä numero</t>
  </si>
  <si>
    <t>ETUSIVULTA:</t>
  </si>
  <si>
    <t xml:space="preserve">Laskuri perustuu VTT:n LIPASTO päästötietokannan sisältämiin liikennevälinekohtaisiin päästökertoimiin ja kulutustietoihin. </t>
  </si>
  <si>
    <t>Ajoneuvon ympäristöluokitus</t>
  </si>
  <si>
    <t>l/100km</t>
  </si>
  <si>
    <t>Kuljetuksen päästöt:</t>
  </si>
  <si>
    <t>Polttoaineen kulutus (l/100 km) (optio):</t>
  </si>
  <si>
    <t>Kuorman maksimimassa (ton)</t>
  </si>
  <si>
    <t>Neljä vaihtoehtoa</t>
  </si>
  <si>
    <t>Hiilijalanjälkilaskurin avulla voidaan arvioida kuljetusten hiilijalanjäljen suuruutta, eli kokonaiskasvihuonekaasupäästöjen määrää sekä polttoaineen kustannuksia.</t>
  </si>
  <si>
    <t>Tietolähde: http://lipasto.vtt.fi/yksikkopaastot/index.htm, ladattu 22.02.2022</t>
  </si>
  <si>
    <t>OHJE</t>
  </si>
  <si>
    <t>Päästö (täysi)</t>
  </si>
  <si>
    <t>Päästö (tyhjä)</t>
  </si>
  <si>
    <t>Kulutus (l/km) (LIPASTO, tyhjä)</t>
  </si>
  <si>
    <t>Kulutus (l/km) (LIPASTO, täysi)</t>
  </si>
  <si>
    <t>Kuorman massa (t)</t>
  </si>
  <si>
    <t>Ajoneuvon massa (ton)</t>
  </si>
  <si>
    <t>Kuorman massa (käyttäjän syöttämä)</t>
  </si>
  <si>
    <t>Ajoneuvotyypin maksimikuorma</t>
  </si>
  <si>
    <t>Kulutus (l/km) (kuorman suhteessa)</t>
  </si>
  <si>
    <t>Ajoneuvon massa</t>
  </si>
  <si>
    <t>Kuorman massa (varmistettu ettei ylitä kantavuutta)</t>
  </si>
  <si>
    <t>Ajoneuvon + kuorman massa</t>
  </si>
  <si>
    <t xml:space="preserve"> * ajoneuvon ja kuorman yhteismassaa (ton) kohden</t>
  </si>
  <si>
    <t>Kulutus, käyttäjän syöttämä (l/km)</t>
  </si>
  <si>
    <t>Kulutus laskelmiin</t>
  </si>
  <si>
    <t>Päästö (kuorman suhteessa)</t>
  </si>
  <si>
    <r>
      <t xml:space="preserve">Kuljetuksen tiedot: </t>
    </r>
    <r>
      <rPr>
        <sz val="11"/>
        <color theme="1"/>
        <rFont val="Arial"/>
        <family val="2"/>
      </rPr>
      <t>(käyttäjä syöttää)</t>
    </r>
  </si>
  <si>
    <t>SUUNTA 1</t>
  </si>
  <si>
    <t>SUUNTA 2</t>
  </si>
  <si>
    <t>Suunta 1</t>
  </si>
  <si>
    <t>Suunta 2</t>
  </si>
  <si>
    <t>euroa</t>
  </si>
  <si>
    <t>eur/ton/km</t>
  </si>
  <si>
    <t>Diesel-polttoaineen hinta (eur/l)</t>
  </si>
  <si>
    <t>Polttoaineen kulutus</t>
  </si>
  <si>
    <t>litraa</t>
  </si>
  <si>
    <t>Polttoaineen hinta</t>
  </si>
  <si>
    <t>Polttoaineen kulutus ja hinta:</t>
  </si>
  <si>
    <t>Kokonaishinta:</t>
  </si>
  <si>
    <t>Kokonaiskulutus:</t>
  </si>
  <si>
    <t>litraa/100 km</t>
  </si>
  <si>
    <t>litraa/kuljetusmatka</t>
  </si>
  <si>
    <t>© Sweco 03/2022, NCC:n toimeksiannosta.</t>
  </si>
  <si>
    <r>
      <t>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-päästö</t>
    </r>
  </si>
  <si>
    <r>
      <t>kgCO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ekv</t>
    </r>
  </si>
  <si>
    <r>
      <t>gCO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ekv/ton/km</t>
    </r>
  </si>
  <si>
    <t>Ominaispäästö</t>
  </si>
  <si>
    <t xml:space="preserve"> * painotettu keskiarvo kuormien massojen suhteessa</t>
  </si>
  <si>
    <t>Yhteensä</t>
  </si>
  <si>
    <t xml:space="preserve"> </t>
  </si>
  <si>
    <t xml:space="preserve"> * painotettu keskiarvo kuormien massojen suhteen</t>
  </si>
  <si>
    <t>eur/ton</t>
  </si>
  <si>
    <t>snt/ton/km</t>
  </si>
  <si>
    <t>snt/ton</t>
  </si>
  <si>
    <t>Polttoaineen kulutus ja hinta</t>
  </si>
  <si>
    <t>l</t>
  </si>
  <si>
    <t>eur</t>
  </si>
  <si>
    <t>Kokonaishinta</t>
  </si>
  <si>
    <t xml:space="preserve">Kuorman osuus maksimista </t>
  </si>
  <si>
    <t>eur/litra</t>
  </si>
  <si>
    <t>Ajoneuvon ympäristöluokitus: EURO-päästötaso</t>
  </si>
  <si>
    <t>Ajoneuvon EURO-päästötaso</t>
  </si>
  <si>
    <t xml:space="preserve">Mikäli ajoneuvon kokonaismassa on 76 t, päästötietokannasta löytyy vain EURO VI ajoneuvo. </t>
  </si>
  <si>
    <t>Desimaalierottimena piste</t>
  </si>
  <si>
    <t>Desimaalierottimena piste. Huomioi ajoneuvotyypin maksimikantavuus. Laskuri ei huomio liian suuria kuormia.</t>
  </si>
  <si>
    <t>Jos arvo on 0, laskuri hakee LIPASTO-tietokannan tiedot. Desimaalierottimena piste.</t>
  </si>
  <si>
    <r>
      <rPr>
        <b/>
        <sz val="11"/>
        <color theme="1"/>
        <rFont val="Arial"/>
        <family val="2"/>
      </rPr>
      <t>Laskurin tuottamat arvot:</t>
    </r>
    <r>
      <rPr>
        <sz val="11"/>
        <color theme="1"/>
        <rFont val="Arial"/>
        <family val="2"/>
      </rPr>
      <t xml:space="preserve"> (älä muuta soluja)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</si>
</sst>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b/>
      <vertAlign val="sub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0DA"/>
        <bgColor indexed="64"/>
      </patternFill>
    </fill>
    <fill>
      <patternFill patternType="solid">
        <fgColor rgb="FFDEC55B"/>
        <bgColor indexed="64"/>
      </patternFill>
    </fill>
    <fill>
      <patternFill patternType="solid">
        <fgColor rgb="FF9DD354"/>
        <bgColor indexed="64"/>
      </patternFill>
    </fill>
    <fill>
      <patternFill patternType="solid">
        <fgColor rgb="FFC0D4FD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 applyAlignment="1">
      <alignment horizontal="right"/>
    </xf>
    <xf numFmtId="0" fontId="4" fillId="4" borderId="5" xfId="0" applyFont="1" applyFill="1" applyBorder="1"/>
    <xf numFmtId="0" fontId="3" fillId="4" borderId="0" xfId="0" applyFont="1" applyFill="1" applyAlignment="1">
      <alignment horizontal="right"/>
    </xf>
    <xf numFmtId="0" fontId="3" fillId="5" borderId="2" xfId="0" applyFont="1" applyFill="1" applyBorder="1"/>
    <xf numFmtId="0" fontId="3" fillId="4" borderId="5" xfId="0" applyFont="1" applyFill="1" applyBorder="1"/>
    <xf numFmtId="0" fontId="3" fillId="6" borderId="2" xfId="0" applyFont="1" applyFill="1" applyBorder="1"/>
    <xf numFmtId="1" fontId="3" fillId="4" borderId="0" xfId="0" applyNumberFormat="1" applyFont="1" applyFill="1"/>
    <xf numFmtId="0" fontId="3" fillId="7" borderId="4" xfId="0" applyFont="1" applyFill="1" applyBorder="1"/>
    <xf numFmtId="164" fontId="4" fillId="7" borderId="3" xfId="0" applyNumberFormat="1" applyFont="1" applyFill="1" applyBorder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3" fillId="0" borderId="0" xfId="0" applyFont="1" applyAlignment="1">
      <alignment horizontal="right"/>
    </xf>
    <xf numFmtId="0" fontId="3" fillId="2" borderId="0" xfId="0" applyFont="1" applyFill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1" xfId="0" applyFont="1" applyFill="1" applyBorder="1" applyAlignment="1">
      <alignment horizontal="center"/>
    </xf>
    <xf numFmtId="0" fontId="3" fillId="3" borderId="4" xfId="0" applyFont="1" applyFill="1" applyBorder="1"/>
    <xf numFmtId="0" fontId="3" fillId="0" borderId="1" xfId="0" applyFont="1" applyFill="1" applyBorder="1" applyAlignment="1">
      <alignment horizontal="right"/>
    </xf>
    <xf numFmtId="1" fontId="3" fillId="0" borderId="0" xfId="0" applyNumberFormat="1" applyFont="1"/>
    <xf numFmtId="0" fontId="3" fillId="0" borderId="0" xfId="0" applyFont="1" applyFill="1"/>
    <xf numFmtId="164" fontId="3" fillId="0" borderId="0" xfId="0" applyNumberFormat="1" applyFont="1" applyFill="1"/>
    <xf numFmtId="0" fontId="4" fillId="0" borderId="0" xfId="0" applyFont="1" applyFill="1" applyAlignment="1">
      <alignment horizontal="right"/>
    </xf>
    <xf numFmtId="0" fontId="3" fillId="3" borderId="7" xfId="0" applyFont="1" applyFill="1" applyBorder="1"/>
    <xf numFmtId="0" fontId="3" fillId="3" borderId="9" xfId="0" applyFont="1" applyFill="1" applyBorder="1"/>
    <xf numFmtId="0" fontId="3" fillId="0" borderId="1" xfId="0" applyFont="1" applyFill="1" applyBorder="1"/>
    <xf numFmtId="0" fontId="4" fillId="0" borderId="0" xfId="0" applyFont="1" applyFill="1"/>
    <xf numFmtId="1" fontId="3" fillId="7" borderId="3" xfId="0" applyNumberFormat="1" applyFont="1" applyFill="1" applyBorder="1"/>
    <xf numFmtId="0" fontId="9" fillId="4" borderId="0" xfId="0" applyFont="1" applyFill="1"/>
    <xf numFmtId="0" fontId="3" fillId="0" borderId="5" xfId="0" applyFont="1" applyBorder="1"/>
    <xf numFmtId="0" fontId="3" fillId="0" borderId="0" xfId="0" applyFont="1" applyBorder="1"/>
    <xf numFmtId="2" fontId="3" fillId="0" borderId="0" xfId="0" applyNumberFormat="1" applyFont="1"/>
    <xf numFmtId="0" fontId="9" fillId="0" borderId="0" xfId="0" applyFont="1" applyFill="1"/>
    <xf numFmtId="2" fontId="3" fillId="0" borderId="0" xfId="0" applyNumberFormat="1" applyFont="1" applyFill="1" applyBorder="1"/>
    <xf numFmtId="0" fontId="3" fillId="0" borderId="0" xfId="0" applyFont="1" applyFill="1" applyBorder="1"/>
    <xf numFmtId="164" fontId="3" fillId="3" borderId="8" xfId="0" applyNumberFormat="1" applyFont="1" applyFill="1" applyBorder="1"/>
    <xf numFmtId="164" fontId="3" fillId="3" borderId="6" xfId="0" applyNumberFormat="1" applyFont="1" applyFill="1" applyBorder="1"/>
    <xf numFmtId="0" fontId="6" fillId="0" borderId="0" xfId="0" applyFont="1" applyFill="1" applyAlignment="1">
      <alignment horizontal="right"/>
    </xf>
    <xf numFmtId="0" fontId="4" fillId="0" borderId="0" xfId="0" applyFont="1" applyFill="1" applyBorder="1"/>
    <xf numFmtId="164" fontId="3" fillId="0" borderId="0" xfId="0" applyNumberFormat="1" applyFont="1" applyFill="1" applyBorder="1"/>
    <xf numFmtId="164" fontId="4" fillId="0" borderId="0" xfId="0" applyNumberFormat="1" applyFont="1" applyFill="1" applyBorder="1"/>
    <xf numFmtId="165" fontId="3" fillId="0" borderId="0" xfId="0" applyNumberFormat="1" applyFont="1" applyFill="1" applyBorder="1"/>
    <xf numFmtId="0" fontId="4" fillId="4" borderId="0" xfId="0" applyFont="1" applyFill="1"/>
    <xf numFmtId="0" fontId="3" fillId="4" borderId="1" xfId="0" applyFont="1" applyFill="1" applyBorder="1"/>
    <xf numFmtId="9" fontId="3" fillId="4" borderId="0" xfId="1" applyFont="1" applyFill="1"/>
    <xf numFmtId="164" fontId="3" fillId="4" borderId="0" xfId="0" applyNumberFormat="1" applyFont="1" applyFill="1"/>
    <xf numFmtId="165" fontId="3" fillId="4" borderId="0" xfId="0" applyNumberFormat="1" applyFont="1" applyFill="1"/>
    <xf numFmtId="164" fontId="4" fillId="3" borderId="3" xfId="0" applyNumberFormat="1" applyFont="1" applyFill="1" applyBorder="1"/>
    <xf numFmtId="0" fontId="9" fillId="4" borderId="0" xfId="0" applyFont="1" applyFill="1" applyAlignment="1">
      <alignment horizontal="right"/>
    </xf>
    <xf numFmtId="164" fontId="3" fillId="4" borderId="8" xfId="0" applyNumberFormat="1" applyFont="1" applyFill="1" applyBorder="1"/>
    <xf numFmtId="0" fontId="3" fillId="4" borderId="9" xfId="0" applyFont="1" applyFill="1" applyBorder="1"/>
    <xf numFmtId="164" fontId="3" fillId="4" borderId="6" xfId="0" applyNumberFormat="1" applyFont="1" applyFill="1" applyBorder="1"/>
    <xf numFmtId="0" fontId="3" fillId="4" borderId="7" xfId="0" applyFont="1" applyFill="1" applyBorder="1"/>
    <xf numFmtId="164" fontId="3" fillId="4" borderId="5" xfId="0" applyNumberFormat="1" applyFont="1" applyFill="1" applyBorder="1"/>
    <xf numFmtId="1" fontId="3" fillId="4" borderId="8" xfId="0" applyNumberFormat="1" applyFont="1" applyFill="1" applyBorder="1"/>
    <xf numFmtId="1" fontId="3" fillId="4" borderId="5" xfId="0" applyNumberFormat="1" applyFont="1" applyFill="1" applyBorder="1"/>
    <xf numFmtId="2" fontId="3" fillId="4" borderId="8" xfId="0" applyNumberFormat="1" applyFont="1" applyFill="1" applyBorder="1"/>
    <xf numFmtId="2" fontId="3" fillId="4" borderId="5" xfId="0" applyNumberFormat="1" applyFont="1" applyFill="1" applyBorder="1"/>
    <xf numFmtId="164" fontId="3" fillId="7" borderId="3" xfId="0" applyNumberFormat="1" applyFont="1" applyFill="1" applyBorder="1"/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colors>
    <mruColors>
      <color rgb="FFE2E0DA"/>
      <color rgb="FFA4A4A6"/>
      <color rgb="FFC0D4FD"/>
      <color rgb="FF9DD354"/>
      <color rgb="FFDEC55B"/>
      <color rgb="FF90A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740228</xdr:colOff>
      <xdr:row>47</xdr:row>
      <xdr:rowOff>160565</xdr:rowOff>
    </xdr:from>
    <xdr:to>
      <xdr:col>4</xdr:col>
      <xdr:colOff>28580</xdr:colOff>
      <xdr:row>49</xdr:row>
      <xdr:rowOff>89194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77A324C-2682-4CE2-B415-B795C7B91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4871" y="5535386"/>
          <a:ext cx="953866" cy="282415"/>
        </a:xfrm>
        <a:prstGeom prst="rect">
          <a:avLst/>
        </a:prstGeom>
      </xdr:spPr>
    </xdr:pic>
    <xdr:clientData/>
  </xdr:twoCellAnchor>
  <xdr:twoCellAnchor editAs="oneCell">
    <xdr:from>
      <xdr:col>0</xdr:col>
      <xdr:colOff>446222</xdr:colOff>
      <xdr:row>20</xdr:row>
      <xdr:rowOff>24554</xdr:rowOff>
    </xdr:from>
    <xdr:to>
      <xdr:col>1</xdr:col>
      <xdr:colOff>966534</xdr:colOff>
      <xdr:row>27</xdr:row>
      <xdr:rowOff>142874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950298-0145-4A09-A44C-A5A9513F7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7709" b="24106"/>
        <a:stretch/>
      </xdr:blipFill>
      <xdr:spPr>
        <a:xfrm>
          <a:off x="446222" y="3775023"/>
          <a:ext cx="1115625" cy="1678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5846-482B-4329-9ECA-1C6C69AD37C1}">
  <dimension ref="B2:E49"/>
  <sheetViews>
    <sheetView tabSelected="1" zoomScale="80" zoomScaleNormal="80" workbookViewId="0">
      <selection activeCell="C21" sqref="C21"/>
    </sheetView>
  </sheetViews>
  <sheetFormatPr defaultColWidth="8.88671875" defaultRowHeight="13.8" x14ac:dyDescent="0.25"/>
  <cols>
    <col min="1" max="1" width="8.88671875" style="2"/>
    <col min="2" max="2" width="41.6640625" style="2" customWidth="1"/>
    <col min="3" max="3" width="89" style="2" customWidth="1"/>
    <col min="4" max="4" width="24.33203125" style="2" customWidth="1"/>
    <col min="5" max="16384" width="8.88671875" style="2"/>
  </cols>
  <sheetData>
    <row r="2" spans="2:5" ht="22.8" x14ac:dyDescent="0.4">
      <c r="B2" s="1" t="s">
        <v>39</v>
      </c>
    </row>
    <row r="4" spans="2:5" x14ac:dyDescent="0.25">
      <c r="B4" s="3" t="s">
        <v>68</v>
      </c>
    </row>
    <row r="5" spans="2:5" x14ac:dyDescent="0.25">
      <c r="E5" s="4" t="s">
        <v>51</v>
      </c>
    </row>
    <row r="6" spans="2:5" x14ac:dyDescent="0.25">
      <c r="B6" s="5" t="s">
        <v>18</v>
      </c>
      <c r="C6" s="6" t="s">
        <v>23</v>
      </c>
      <c r="D6" s="2" t="s">
        <v>29</v>
      </c>
      <c r="E6" s="7" t="s">
        <v>48</v>
      </c>
    </row>
    <row r="7" spans="2:5" x14ac:dyDescent="0.25">
      <c r="B7" s="5" t="s">
        <v>43</v>
      </c>
      <c r="C7" s="6" t="s">
        <v>10</v>
      </c>
      <c r="D7" s="2" t="s">
        <v>29</v>
      </c>
      <c r="E7" s="7" t="s">
        <v>104</v>
      </c>
    </row>
    <row r="9" spans="2:5" x14ac:dyDescent="0.25">
      <c r="B9" s="5" t="s">
        <v>28</v>
      </c>
      <c r="C9" s="8">
        <v>50</v>
      </c>
      <c r="D9" s="2" t="s">
        <v>40</v>
      </c>
      <c r="E9" s="7" t="s">
        <v>105</v>
      </c>
    </row>
    <row r="10" spans="2:5" x14ac:dyDescent="0.25">
      <c r="B10" s="5" t="s">
        <v>75</v>
      </c>
      <c r="C10" s="8">
        <v>1.88</v>
      </c>
      <c r="D10" s="2" t="s">
        <v>40</v>
      </c>
      <c r="E10" s="7" t="s">
        <v>105</v>
      </c>
    </row>
    <row r="11" spans="2:5" x14ac:dyDescent="0.25">
      <c r="B11" s="5"/>
      <c r="C11" s="5"/>
      <c r="E11" s="7"/>
    </row>
    <row r="12" spans="2:5" x14ac:dyDescent="0.25">
      <c r="B12" s="3" t="s">
        <v>69</v>
      </c>
      <c r="C12" s="5"/>
      <c r="E12" s="7"/>
    </row>
    <row r="13" spans="2:5" x14ac:dyDescent="0.25">
      <c r="B13" s="5" t="s">
        <v>56</v>
      </c>
      <c r="C13" s="8">
        <v>40</v>
      </c>
      <c r="D13" s="2" t="s">
        <v>40</v>
      </c>
      <c r="E13" s="7" t="s">
        <v>106</v>
      </c>
    </row>
    <row r="14" spans="2:5" x14ac:dyDescent="0.25">
      <c r="B14" s="5" t="s">
        <v>46</v>
      </c>
      <c r="C14" s="8">
        <v>0</v>
      </c>
      <c r="D14" s="2" t="s">
        <v>40</v>
      </c>
      <c r="E14" s="7" t="s">
        <v>107</v>
      </c>
    </row>
    <row r="15" spans="2:5" x14ac:dyDescent="0.25">
      <c r="B15" s="3" t="s">
        <v>70</v>
      </c>
      <c r="C15" s="5"/>
      <c r="E15" s="7"/>
    </row>
    <row r="16" spans="2:5" x14ac:dyDescent="0.25">
      <c r="B16" s="5" t="s">
        <v>56</v>
      </c>
      <c r="C16" s="8">
        <v>20</v>
      </c>
      <c r="D16" s="2" t="s">
        <v>40</v>
      </c>
      <c r="E16" s="7" t="s">
        <v>106</v>
      </c>
    </row>
    <row r="17" spans="2:5" x14ac:dyDescent="0.25">
      <c r="B17" s="5" t="s">
        <v>46</v>
      </c>
      <c r="C17" s="8">
        <v>0</v>
      </c>
      <c r="D17" s="2" t="s">
        <v>40</v>
      </c>
      <c r="E17" s="7" t="s">
        <v>107</v>
      </c>
    </row>
    <row r="19" spans="2:5" x14ac:dyDescent="0.25">
      <c r="B19" s="5" t="s">
        <v>108</v>
      </c>
    </row>
    <row r="21" spans="2:5" x14ac:dyDescent="0.25">
      <c r="B21" s="3" t="s">
        <v>45</v>
      </c>
      <c r="C21" s="9"/>
    </row>
    <row r="22" spans="2:5" ht="16.2" x14ac:dyDescent="0.35">
      <c r="B22" s="5" t="s">
        <v>71</v>
      </c>
      <c r="C22" s="55">
        <f>'LASKURI + LIPASTO, ÄLÄ MUUTA'!B19</f>
        <v>59.630401254192819</v>
      </c>
      <c r="D22" s="56" t="s">
        <v>86</v>
      </c>
    </row>
    <row r="23" spans="2:5" ht="16.2" x14ac:dyDescent="0.35">
      <c r="B23" s="5" t="s">
        <v>72</v>
      </c>
      <c r="C23" s="57">
        <f>'LASKURI + LIPASTO, ÄLÄ MUUTA'!B24</f>
        <v>49.338098777136757</v>
      </c>
      <c r="D23" s="58" t="s">
        <v>86</v>
      </c>
    </row>
    <row r="24" spans="2:5" ht="16.2" x14ac:dyDescent="0.35">
      <c r="B24" s="3" t="s">
        <v>31</v>
      </c>
      <c r="C24" s="11">
        <f>C22+C23</f>
        <v>108.96850003132957</v>
      </c>
      <c r="D24" s="10" t="s">
        <v>86</v>
      </c>
    </row>
    <row r="26" spans="2:5" ht="16.2" x14ac:dyDescent="0.35">
      <c r="B26" s="5" t="s">
        <v>71</v>
      </c>
      <c r="C26" s="55">
        <f>'LASKURI + LIPASTO, ÄLÄ MUUTA'!B20</f>
        <v>19.876800418064271</v>
      </c>
      <c r="D26" s="56" t="s">
        <v>87</v>
      </c>
      <c r="E26" s="34" t="s">
        <v>64</v>
      </c>
    </row>
    <row r="27" spans="2:5" ht="16.2" x14ac:dyDescent="0.35">
      <c r="B27" s="5" t="s">
        <v>72</v>
      </c>
      <c r="C27" s="59">
        <f>'LASKURI + LIPASTO, ÄLÄ MUUTA'!B25</f>
        <v>24.669049388568379</v>
      </c>
      <c r="D27" s="49" t="s">
        <v>87</v>
      </c>
      <c r="E27" s="34" t="s">
        <v>64</v>
      </c>
    </row>
    <row r="28" spans="2:5" ht="16.2" x14ac:dyDescent="0.35">
      <c r="B28" s="3" t="s">
        <v>88</v>
      </c>
      <c r="C28" s="57">
        <f>'LASKURI + LIPASTO, ÄLÄ MUUTA'!B28</f>
        <v>21.793700006265919</v>
      </c>
      <c r="D28" s="58" t="s">
        <v>87</v>
      </c>
      <c r="E28" s="34" t="s">
        <v>89</v>
      </c>
    </row>
    <row r="30" spans="2:5" x14ac:dyDescent="0.25">
      <c r="B30" s="3" t="s">
        <v>79</v>
      </c>
    </row>
    <row r="31" spans="2:5" x14ac:dyDescent="0.25">
      <c r="B31" s="5" t="s">
        <v>71</v>
      </c>
      <c r="C31" s="60">
        <f>'LASKURI + LIPASTO, ÄLÄ MUUTA'!B32</f>
        <v>50.365615902835174</v>
      </c>
      <c r="D31" s="56" t="s">
        <v>82</v>
      </c>
    </row>
    <row r="32" spans="2:5" x14ac:dyDescent="0.25">
      <c r="C32" s="61">
        <f>'LASKURI + LIPASTO, ÄLÄ MUUTA'!B33</f>
        <v>25.182807951417587</v>
      </c>
      <c r="D32" s="49" t="s">
        <v>83</v>
      </c>
    </row>
    <row r="33" spans="2:5" x14ac:dyDescent="0.25">
      <c r="C33" s="57">
        <f>'LASKURI + LIPASTO, ÄLÄ MUUTA'!B34</f>
        <v>47.343678948665058</v>
      </c>
      <c r="D33" s="58" t="s">
        <v>73</v>
      </c>
    </row>
    <row r="34" spans="2:5" x14ac:dyDescent="0.25">
      <c r="B34" s="5" t="s">
        <v>72</v>
      </c>
      <c r="C34" s="60">
        <f>'LASKURI + LIPASTO, ÄLÄ MUUTA'!B36</f>
        <v>41.566803486074811</v>
      </c>
      <c r="D34" s="56" t="s">
        <v>82</v>
      </c>
    </row>
    <row r="35" spans="2:5" x14ac:dyDescent="0.25">
      <c r="B35" s="5"/>
      <c r="C35" s="61">
        <f>'LASKURI + LIPASTO, ÄLÄ MUUTA'!B37</f>
        <v>20.783401743037405</v>
      </c>
      <c r="D35" s="49" t="s">
        <v>83</v>
      </c>
    </row>
    <row r="36" spans="2:5" x14ac:dyDescent="0.25">
      <c r="C36" s="57">
        <f>'LASKURI + LIPASTO, ÄLÄ MUUTA'!B38</f>
        <v>39.07279527691032</v>
      </c>
      <c r="D36" s="58" t="s">
        <v>73</v>
      </c>
    </row>
    <row r="37" spans="2:5" x14ac:dyDescent="0.25">
      <c r="B37" s="3" t="s">
        <v>81</v>
      </c>
      <c r="C37" s="33">
        <f>C32+C35</f>
        <v>45.966209694454989</v>
      </c>
      <c r="D37" s="10" t="s">
        <v>77</v>
      </c>
    </row>
    <row r="38" spans="2:5" x14ac:dyDescent="0.25">
      <c r="B38" s="3" t="s">
        <v>80</v>
      </c>
      <c r="C38" s="64">
        <f>C33+C36</f>
        <v>86.416474225575371</v>
      </c>
      <c r="D38" s="10" t="s">
        <v>73</v>
      </c>
    </row>
    <row r="41" spans="2:5" x14ac:dyDescent="0.25">
      <c r="B41" s="5" t="s">
        <v>71</v>
      </c>
      <c r="C41" s="62">
        <f>'LASKURI + LIPASTO, ÄLÄ MUUTA'!B45</f>
        <v>1.5781226316221686</v>
      </c>
      <c r="D41" s="56" t="s">
        <v>94</v>
      </c>
      <c r="E41" s="2" t="s">
        <v>64</v>
      </c>
    </row>
    <row r="42" spans="2:5" x14ac:dyDescent="0.25">
      <c r="B42" s="5" t="s">
        <v>72</v>
      </c>
      <c r="C42" s="63">
        <f>'LASKURI + LIPASTO, ÄLÄ MUUTA'!B48</f>
        <v>1.9536397638455161</v>
      </c>
      <c r="D42" s="49" t="s">
        <v>94</v>
      </c>
      <c r="E42" s="2" t="s">
        <v>64</v>
      </c>
    </row>
    <row r="43" spans="2:5" x14ac:dyDescent="0.25">
      <c r="B43" s="5" t="s">
        <v>99</v>
      </c>
      <c r="C43" s="63">
        <f>'LASKURI + LIPASTO, ÄLÄ MUUTA'!B51</f>
        <v>1.7283294845115076</v>
      </c>
      <c r="D43" s="49" t="s">
        <v>94</v>
      </c>
      <c r="E43" s="34" t="s">
        <v>89</v>
      </c>
    </row>
    <row r="44" spans="2:5" x14ac:dyDescent="0.25">
      <c r="B44" s="54" t="s">
        <v>99</v>
      </c>
      <c r="C44" s="57">
        <f>'LASKURI + LIPASTO, ÄLÄ MUUTA'!B54</f>
        <v>86.416474225575371</v>
      </c>
      <c r="D44" s="58" t="s">
        <v>95</v>
      </c>
      <c r="E44" s="34" t="s">
        <v>89</v>
      </c>
    </row>
    <row r="47" spans="2:5" x14ac:dyDescent="0.25">
      <c r="B47" s="2" t="s">
        <v>49</v>
      </c>
    </row>
    <row r="48" spans="2:5" x14ac:dyDescent="0.25">
      <c r="B48" s="2" t="s">
        <v>42</v>
      </c>
    </row>
    <row r="49" spans="2:2" x14ac:dyDescent="0.25">
      <c r="B49" s="2" t="s">
        <v>84</v>
      </c>
    </row>
  </sheetData>
  <phoneticPr fontId="5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001" yWindow="459" count="2">
        <x14:dataValidation type="list" allowBlank="1" showInputMessage="1" showErrorMessage="1" promptTitle="EURO-luokka" prompt="Valitse alasvetovalikosta" xr:uid="{56D4F51E-4BA8-40C4-9817-E92D8902CB35}">
          <x14:formula1>
            <xm:f>'LASKURI + LIPASTO, ÄLÄ MUUTA'!$G$12:$G$18</xm:f>
          </x14:formula1>
          <xm:sqref>C7</xm:sqref>
        </x14:dataValidation>
        <x14:dataValidation type="list" allowBlank="1" showInputMessage="1" showErrorMessage="1" promptTitle="Ajoneuvotyyppi" prompt="Valitse alasvetovalikosta" xr:uid="{52A8628E-9192-4A09-A32D-2B6F18BDAD41}">
          <x14:formula1>
            <xm:f>'LASKURI + LIPASTO, ÄLÄ MUUTA'!$G$6:$G$9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0727F-DCEE-434B-813F-A36C5D15D7A7}">
  <sheetPr>
    <tabColor theme="0" tint="-0.34998626667073579"/>
  </sheetPr>
  <dimension ref="A2:W61"/>
  <sheetViews>
    <sheetView zoomScale="70" zoomScaleNormal="70" workbookViewId="0">
      <selection activeCell="B3" sqref="B3"/>
    </sheetView>
  </sheetViews>
  <sheetFormatPr defaultColWidth="8.88671875" defaultRowHeight="13.8" x14ac:dyDescent="0.25"/>
  <cols>
    <col min="1" max="1" width="36.5546875" style="12" customWidth="1"/>
    <col min="2" max="2" width="95.5546875" style="12" customWidth="1"/>
    <col min="3" max="3" width="26.33203125" style="36" customWidth="1"/>
    <col min="4" max="4" width="11.5546875" style="36" customWidth="1"/>
    <col min="5" max="5" width="5.5546875" style="35" customWidth="1"/>
    <col min="6" max="6" width="4.88671875" style="12" customWidth="1"/>
    <col min="7" max="7" width="111.6640625" style="13" customWidth="1"/>
    <col min="8" max="8" width="11.33203125" style="12" customWidth="1"/>
    <col min="9" max="9" width="30.33203125" style="12" customWidth="1"/>
    <col min="10" max="10" width="19.109375" style="12" customWidth="1"/>
    <col min="11" max="11" width="21.33203125" style="13" customWidth="1"/>
    <col min="12" max="12" width="8.88671875" style="12"/>
    <col min="13" max="13" width="15.109375" style="12" customWidth="1"/>
    <col min="14" max="14" width="34.33203125" style="12" customWidth="1"/>
    <col min="15" max="15" width="9.5546875" style="12" customWidth="1"/>
    <col min="16" max="16" width="16.33203125" style="12" customWidth="1"/>
    <col min="17" max="17" width="11.5546875" style="12" bestFit="1" customWidth="1"/>
    <col min="18" max="18" width="11.5546875" style="12" customWidth="1"/>
    <col min="19" max="19" width="5.44140625" style="12" customWidth="1"/>
    <col min="20" max="20" width="23.44140625" style="12" customWidth="1"/>
    <col min="21" max="21" width="7.6640625" style="12" customWidth="1"/>
    <col min="22" max="22" width="17.6640625" style="12" customWidth="1"/>
    <col min="23" max="23" width="16.109375" style="12" customWidth="1"/>
    <col min="24" max="24" width="5.44140625" style="12" customWidth="1"/>
    <col min="25" max="25" width="34.33203125" style="12" customWidth="1"/>
    <col min="26" max="26" width="91.44140625" style="12" customWidth="1"/>
    <col min="27" max="16384" width="8.88671875" style="12"/>
  </cols>
  <sheetData>
    <row r="2" spans="1:23" x14ac:dyDescent="0.25">
      <c r="M2" s="12" t="s">
        <v>50</v>
      </c>
      <c r="P2" s="12" t="s">
        <v>0</v>
      </c>
    </row>
    <row r="3" spans="1:23" x14ac:dyDescent="0.25">
      <c r="B3" s="14" t="s">
        <v>41</v>
      </c>
      <c r="G3" s="15" t="s">
        <v>30</v>
      </c>
      <c r="H3" s="14"/>
      <c r="J3" s="14" t="s">
        <v>17</v>
      </c>
    </row>
    <row r="4" spans="1:23" x14ac:dyDescent="0.25">
      <c r="A4" s="16" t="str">
        <f>HIILIJALANJÄLKILASKURI!B6</f>
        <v>Ajoneuvotyyppi</v>
      </c>
      <c r="B4" s="17" t="str">
        <f>HIILIJALANJÄLKILASKURI!C6</f>
        <v>Kokonaismassa 60 t, kantavuus 40 t (Varsinaisella perävaunulla varustettu yhdistelmä)</v>
      </c>
      <c r="N4" s="14" t="s">
        <v>19</v>
      </c>
      <c r="O4" s="14"/>
    </row>
    <row r="5" spans="1:23" x14ac:dyDescent="0.25">
      <c r="A5" s="16" t="str">
        <f>HIILIJALANJÄLKILASKURI!B7</f>
        <v>Ajoneuvon ympäristöluokitus</v>
      </c>
      <c r="B5" s="17" t="str">
        <f>HIILIJALANJÄLKILASKURI!C7</f>
        <v>EURO VI (2015 --&gt;</v>
      </c>
      <c r="F5" s="16"/>
      <c r="G5" s="13" t="s">
        <v>18</v>
      </c>
      <c r="I5" s="12" t="s">
        <v>18</v>
      </c>
      <c r="J5" s="12">
        <f>IF(HIILIJALANJÄLKILASKURI!C6=G6,1,IF(HIILIJALANJÄLKILASKURI!C6=G7,2,IF(HIILIJALANJÄLKILASKURI!C6=G8,3,IF(HIILIJALANJÄLKILASKURI!C6=G9,4,FALSE))))</f>
        <v>3</v>
      </c>
      <c r="P5" s="14" t="s">
        <v>13</v>
      </c>
      <c r="V5" s="14" t="s">
        <v>12</v>
      </c>
    </row>
    <row r="6" spans="1:23" x14ac:dyDescent="0.25">
      <c r="A6" s="16" t="str">
        <f>HIILIJALANJÄLKILASKURI!B9</f>
        <v>Kuljetusmatkan pituus (km)</v>
      </c>
      <c r="B6" s="17">
        <f>HIILIJALANJÄLKILASKURI!C9</f>
        <v>50</v>
      </c>
      <c r="F6" s="18">
        <v>1</v>
      </c>
      <c r="G6" s="15" t="s">
        <v>25</v>
      </c>
      <c r="H6" s="14"/>
      <c r="I6" s="12" t="s">
        <v>103</v>
      </c>
      <c r="J6" s="12">
        <f>IF(J5=4,7,IF(HIILIJALANJÄLKILASKURI!C7=G12,1,IF(HIILIJALANJÄLKILASKURI!C7=G13,2,IF(HIILIJALANJÄLKILASKURI!C7=G14,3,IF(HIILIJALANJÄLKILASKURI!C7=G15,4,IF(HIILIJALANJÄLKILASKURI!C7=G16,5,IF(HIILIJALANJÄLKILASKURI!C7=G17,6,IF(HIILIJALANJÄLKILASKURI!C7=G18,7,FALSE))))))))</f>
        <v>7</v>
      </c>
      <c r="M6" s="12" t="s">
        <v>18</v>
      </c>
      <c r="N6" s="12" t="s">
        <v>1</v>
      </c>
      <c r="P6" s="12" t="s">
        <v>2</v>
      </c>
      <c r="Q6" s="12" t="s">
        <v>3</v>
      </c>
      <c r="S6" s="19"/>
      <c r="T6" s="12" t="s">
        <v>1</v>
      </c>
      <c r="V6" s="12" t="s">
        <v>2</v>
      </c>
      <c r="W6" s="12" t="s">
        <v>3</v>
      </c>
    </row>
    <row r="7" spans="1:23" x14ac:dyDescent="0.25">
      <c r="A7" s="16" t="str">
        <f>HIILIJALANJÄLKILASKURI!B10</f>
        <v>Diesel-polttoaineen hinta (eur/l)</v>
      </c>
      <c r="B7" s="17">
        <f>HIILIJALANJÄLKILASKURI!C10</f>
        <v>1.88</v>
      </c>
      <c r="F7" s="18">
        <v>2</v>
      </c>
      <c r="G7" s="15" t="s">
        <v>24</v>
      </c>
      <c r="H7" s="14"/>
      <c r="I7" s="12" t="s">
        <v>28</v>
      </c>
      <c r="J7" s="12">
        <f>HIILIJALANJÄLKILASKURI!C9</f>
        <v>50</v>
      </c>
      <c r="K7" s="13" t="s">
        <v>35</v>
      </c>
      <c r="M7" s="12">
        <v>1</v>
      </c>
      <c r="N7" s="12" t="s">
        <v>4</v>
      </c>
      <c r="O7" s="19">
        <v>1</v>
      </c>
      <c r="P7" s="20">
        <v>585.8641131464118</v>
      </c>
      <c r="Q7" s="20">
        <v>820.54321699526702</v>
      </c>
      <c r="R7" s="20"/>
      <c r="S7" s="19">
        <v>1</v>
      </c>
      <c r="T7" s="12" t="s">
        <v>4</v>
      </c>
      <c r="U7" s="19">
        <v>1</v>
      </c>
      <c r="V7" s="20">
        <v>24.87940062670171</v>
      </c>
      <c r="W7" s="20">
        <v>34.909815153710447</v>
      </c>
    </row>
    <row r="8" spans="1:23" x14ac:dyDescent="0.25">
      <c r="A8" s="28" t="s">
        <v>69</v>
      </c>
      <c r="F8" s="18">
        <v>3</v>
      </c>
      <c r="G8" s="15" t="s">
        <v>23</v>
      </c>
      <c r="H8" s="14"/>
      <c r="I8" s="12" t="s">
        <v>27</v>
      </c>
      <c r="J8" s="12">
        <f>HIILIJALANJÄLKILASKURI!C10</f>
        <v>1.88</v>
      </c>
      <c r="K8" s="13" t="s">
        <v>101</v>
      </c>
      <c r="N8" s="12" t="s">
        <v>5</v>
      </c>
      <c r="O8" s="19">
        <v>2</v>
      </c>
      <c r="P8" s="20">
        <v>571.2608306001988</v>
      </c>
      <c r="Q8" s="20">
        <v>782.72971922908198</v>
      </c>
      <c r="R8" s="20"/>
      <c r="S8" s="19">
        <v>2</v>
      </c>
      <c r="T8" s="12" t="s">
        <v>5</v>
      </c>
      <c r="U8" s="19">
        <v>2</v>
      </c>
      <c r="V8" s="20">
        <v>24.262137831969333</v>
      </c>
      <c r="W8" s="20">
        <v>33.30070944264429</v>
      </c>
    </row>
    <row r="9" spans="1:23" x14ac:dyDescent="0.25">
      <c r="A9" s="16" t="str">
        <f>HIILIJALANJÄLKILASKURI!B13</f>
        <v>Kuorman massa (t)</v>
      </c>
      <c r="B9" s="17">
        <f>HIILIJALANJÄLKILASKURI!C13</f>
        <v>40</v>
      </c>
      <c r="F9" s="18">
        <v>4</v>
      </c>
      <c r="G9" s="15" t="s">
        <v>26</v>
      </c>
      <c r="H9" s="14"/>
      <c r="N9" s="12" t="s">
        <v>6</v>
      </c>
      <c r="O9" s="19">
        <v>3</v>
      </c>
      <c r="P9" s="20">
        <v>558.24968105126811</v>
      </c>
      <c r="Q9" s="20">
        <v>767.17999383395477</v>
      </c>
      <c r="R9" s="20"/>
      <c r="S9" s="19">
        <v>3</v>
      </c>
      <c r="T9" s="12" t="s">
        <v>6</v>
      </c>
      <c r="U9" s="19">
        <v>3</v>
      </c>
      <c r="V9" s="20">
        <v>23.723350941774886</v>
      </c>
      <c r="W9" s="20">
        <v>32.653594804196032</v>
      </c>
    </row>
    <row r="10" spans="1:23" x14ac:dyDescent="0.25">
      <c r="A10" s="16" t="str">
        <f>HIILIJALANJÄLKILASKURI!B14</f>
        <v>Polttoaineen kulutus (l/100 km) (optio):</v>
      </c>
      <c r="B10" s="17">
        <f>HIILIJALANJÄLKILASKURI!C14</f>
        <v>0</v>
      </c>
      <c r="F10" s="16"/>
      <c r="I10" s="12" t="s">
        <v>59</v>
      </c>
      <c r="J10" s="12">
        <f>IF($J$5=1,$G$21,IF($J$5=2,$G$22,IF($J$5=3,$G$23,IF($J$5=4,$G$24))))</f>
        <v>40</v>
      </c>
      <c r="K10" s="13" t="s">
        <v>36</v>
      </c>
      <c r="N10" s="12" t="s">
        <v>7</v>
      </c>
      <c r="O10" s="19">
        <v>4</v>
      </c>
      <c r="P10" s="20">
        <v>568.05262561090183</v>
      </c>
      <c r="Q10" s="20">
        <v>780.03391923076879</v>
      </c>
      <c r="R10" s="20"/>
      <c r="S10" s="19">
        <v>4</v>
      </c>
      <c r="T10" s="12" t="s">
        <v>7</v>
      </c>
      <c r="U10" s="19">
        <v>4</v>
      </c>
      <c r="V10" s="20">
        <v>24.182908223933179</v>
      </c>
      <c r="W10" s="20">
        <v>33.243657606341571</v>
      </c>
    </row>
    <row r="11" spans="1:23" x14ac:dyDescent="0.25">
      <c r="A11" s="28" t="s">
        <v>70</v>
      </c>
      <c r="F11" s="16"/>
      <c r="G11" s="15" t="s">
        <v>102</v>
      </c>
      <c r="H11" s="14"/>
      <c r="I11" s="12" t="s">
        <v>61</v>
      </c>
      <c r="J11" s="12">
        <f>IF($J$5=1,$G$27,IF($J$5=2,$G$28,IF($J$5=3,$G$29,IF($J$5=4,$G$30))))</f>
        <v>20</v>
      </c>
      <c r="K11" s="13" t="s">
        <v>36</v>
      </c>
      <c r="N11" s="12" t="s">
        <v>8</v>
      </c>
      <c r="O11" s="19">
        <v>5</v>
      </c>
      <c r="P11" s="20">
        <v>546.51607254138071</v>
      </c>
      <c r="Q11" s="20">
        <v>747.53424788290931</v>
      </c>
      <c r="R11" s="20"/>
      <c r="S11" s="19">
        <v>5</v>
      </c>
      <c r="T11" s="12" t="s">
        <v>8</v>
      </c>
      <c r="U11" s="19">
        <v>5</v>
      </c>
      <c r="V11" s="20">
        <v>23.115391848210617</v>
      </c>
      <c r="W11" s="20">
        <v>31.707826543440024</v>
      </c>
    </row>
    <row r="12" spans="1:23" x14ac:dyDescent="0.25">
      <c r="A12" s="16" t="str">
        <f>HIILIJALANJÄLKILASKURI!B16</f>
        <v>Kuorman massa (t)</v>
      </c>
      <c r="B12" s="17">
        <f>HIILIJALANJÄLKILASKURI!C16</f>
        <v>20</v>
      </c>
      <c r="F12" s="18">
        <v>1</v>
      </c>
      <c r="G12" s="13" t="s">
        <v>4</v>
      </c>
      <c r="N12" s="12" t="s">
        <v>9</v>
      </c>
      <c r="O12" s="19">
        <v>6</v>
      </c>
      <c r="P12" s="20">
        <v>558.46555633624268</v>
      </c>
      <c r="Q12" s="20">
        <v>755.18893704311688</v>
      </c>
      <c r="R12" s="20"/>
      <c r="S12" s="19">
        <v>6</v>
      </c>
      <c r="T12" s="12" t="s">
        <v>9</v>
      </c>
      <c r="U12" s="19">
        <v>6</v>
      </c>
      <c r="V12" s="20">
        <v>23.159961280508007</v>
      </c>
      <c r="W12" s="20">
        <v>31.568815470215419</v>
      </c>
    </row>
    <row r="13" spans="1:23" x14ac:dyDescent="0.25">
      <c r="A13" s="16" t="str">
        <f>HIILIJALANJÄLKILASKURI!B17</f>
        <v>Polttoaineen kulutus (l/100 km) (optio):</v>
      </c>
      <c r="B13" s="17">
        <f>HIILIJALANJÄLKILASKURI!C17</f>
        <v>0</v>
      </c>
      <c r="F13" s="18">
        <v>2</v>
      </c>
      <c r="G13" s="13" t="s">
        <v>5</v>
      </c>
      <c r="H13" s="48" t="s">
        <v>71</v>
      </c>
      <c r="I13" s="2" t="s">
        <v>58</v>
      </c>
      <c r="J13" s="2">
        <f>B9</f>
        <v>40</v>
      </c>
      <c r="K13" s="49" t="s">
        <v>36</v>
      </c>
      <c r="N13" s="12" t="s">
        <v>10</v>
      </c>
      <c r="O13" s="22">
        <v>7</v>
      </c>
      <c r="P13" s="20">
        <v>555.27826338567297</v>
      </c>
      <c r="Q13" s="20">
        <v>749.79504846255134</v>
      </c>
      <c r="R13" s="20"/>
      <c r="S13" s="22">
        <v>7</v>
      </c>
      <c r="T13" s="12" t="s">
        <v>10</v>
      </c>
      <c r="U13" s="22">
        <v>7</v>
      </c>
      <c r="V13" s="20">
        <v>23.12324184607122</v>
      </c>
      <c r="W13" s="20">
        <v>31.43783957998598</v>
      </c>
    </row>
    <row r="14" spans="1:23" x14ac:dyDescent="0.25">
      <c r="F14" s="18">
        <v>3</v>
      </c>
      <c r="G14" s="13" t="s">
        <v>6</v>
      </c>
      <c r="H14" s="48"/>
      <c r="I14" s="2" t="s">
        <v>62</v>
      </c>
      <c r="J14" s="2">
        <f>IF(J10&lt;=J13,J10,J13)</f>
        <v>40</v>
      </c>
      <c r="K14" s="49" t="s">
        <v>36</v>
      </c>
      <c r="N14" s="12" t="s">
        <v>11</v>
      </c>
      <c r="P14" s="20">
        <v>558.07308272147884</v>
      </c>
      <c r="Q14" s="20">
        <v>760.90364509998153</v>
      </c>
      <c r="R14" s="20"/>
      <c r="S14" s="19"/>
      <c r="T14" s="12" t="s">
        <v>11</v>
      </c>
      <c r="V14" s="20">
        <v>23.476734606174329</v>
      </c>
      <c r="W14" s="20">
        <v>32.14651845188201</v>
      </c>
    </row>
    <row r="15" spans="1:23" x14ac:dyDescent="0.25">
      <c r="F15" s="18">
        <v>4</v>
      </c>
      <c r="G15" s="13" t="s">
        <v>7</v>
      </c>
      <c r="H15" s="48"/>
      <c r="I15" s="2" t="s">
        <v>100</v>
      </c>
      <c r="J15" s="50">
        <f>J14/J$10</f>
        <v>1</v>
      </c>
      <c r="K15" s="49"/>
      <c r="S15" s="19"/>
    </row>
    <row r="16" spans="1:23" x14ac:dyDescent="0.25">
      <c r="F16" s="18">
        <v>5</v>
      </c>
      <c r="G16" s="13" t="s">
        <v>8</v>
      </c>
      <c r="H16" s="48"/>
      <c r="I16" s="2" t="s">
        <v>63</v>
      </c>
      <c r="J16" s="2">
        <f>J14+J$11</f>
        <v>60</v>
      </c>
      <c r="K16" s="49" t="s">
        <v>36</v>
      </c>
      <c r="N16" s="14" t="s">
        <v>20</v>
      </c>
      <c r="O16" s="14"/>
      <c r="S16" s="19"/>
      <c r="U16" s="14"/>
    </row>
    <row r="17" spans="1:23" ht="16.2" x14ac:dyDescent="0.35">
      <c r="A17" s="14" t="s">
        <v>85</v>
      </c>
      <c r="F17" s="18">
        <v>6</v>
      </c>
      <c r="G17" s="13" t="s">
        <v>9</v>
      </c>
      <c r="H17" s="48"/>
      <c r="I17" s="2"/>
      <c r="J17" s="2"/>
      <c r="K17" s="49"/>
      <c r="P17" s="14" t="s">
        <v>13</v>
      </c>
      <c r="S17" s="19"/>
      <c r="V17" s="14" t="s">
        <v>12</v>
      </c>
    </row>
    <row r="18" spans="1:23" x14ac:dyDescent="0.25">
      <c r="A18" s="16" t="s">
        <v>71</v>
      </c>
      <c r="B18" s="21">
        <f>J7*J20</f>
        <v>59630.401254192817</v>
      </c>
      <c r="C18" s="36" t="s">
        <v>32</v>
      </c>
      <c r="F18" s="24">
        <v>7</v>
      </c>
      <c r="G18" s="13" t="s">
        <v>10</v>
      </c>
      <c r="H18" s="48"/>
      <c r="I18" s="2" t="s">
        <v>53</v>
      </c>
      <c r="J18" s="51">
        <f>IF(J5=1,VLOOKUP($J$6,O7:Q13,2),IF(J5=2,VLOOKUP($J$6,O19:Q25,2),IF(J5=3,VLOOKUP($J$6,O31:Q37,2),IF(J5=4,VLOOKUP($J$6,O43:Q49,2),))))</f>
        <v>780.91592600161414</v>
      </c>
      <c r="K18" s="49" t="s">
        <v>37</v>
      </c>
      <c r="N18" s="12" t="s">
        <v>1</v>
      </c>
      <c r="P18" s="12" t="s">
        <v>2</v>
      </c>
      <c r="Q18" s="12" t="s">
        <v>14</v>
      </c>
      <c r="S18" s="19"/>
      <c r="T18" s="12" t="s">
        <v>1</v>
      </c>
      <c r="V18" s="12" t="s">
        <v>2</v>
      </c>
      <c r="W18" s="12" t="s">
        <v>14</v>
      </c>
    </row>
    <row r="19" spans="1:23" x14ac:dyDescent="0.25">
      <c r="B19" s="53">
        <f>B18*10^-3</f>
        <v>59.630401254192819</v>
      </c>
      <c r="C19" s="23" t="s">
        <v>33</v>
      </c>
      <c r="F19" s="16"/>
      <c r="H19" s="48"/>
      <c r="I19" s="2" t="s">
        <v>52</v>
      </c>
      <c r="J19" s="51">
        <f>IF(J5=1,VLOOKUP($J$6,O7:Q13,3),IF(J5=2,VLOOKUP($J$6,O19:Q25,3),IF(J5=3,VLOOKUP($J$6,O31:Q37,3),IF(J5=4,VLOOKUP($J$6,O43:Q49,3),))))</f>
        <v>1192.6080250838563</v>
      </c>
      <c r="K19" s="49" t="s">
        <v>37</v>
      </c>
      <c r="M19" s="12">
        <v>2</v>
      </c>
      <c r="N19" s="12" t="s">
        <v>4</v>
      </c>
      <c r="O19" s="19">
        <v>1</v>
      </c>
      <c r="P19" s="20">
        <v>656.83402358515309</v>
      </c>
      <c r="Q19" s="20">
        <v>946.45948596194785</v>
      </c>
      <c r="R19" s="20"/>
      <c r="S19" s="19">
        <v>1</v>
      </c>
      <c r="T19" s="12" t="s">
        <v>4</v>
      </c>
      <c r="U19" s="19">
        <v>1</v>
      </c>
      <c r="V19" s="20">
        <v>27.913473873860454</v>
      </c>
      <c r="W19" s="20">
        <v>40.292492722268136</v>
      </c>
    </row>
    <row r="20" spans="1:23" x14ac:dyDescent="0.25">
      <c r="B20" s="45">
        <f>B18/$J$16/$J$7</f>
        <v>19.876800418064271</v>
      </c>
      <c r="C20" s="40" t="s">
        <v>34</v>
      </c>
      <c r="D20" s="36" t="s">
        <v>64</v>
      </c>
      <c r="E20" s="35" t="s">
        <v>91</v>
      </c>
      <c r="F20" s="12" t="s">
        <v>91</v>
      </c>
      <c r="G20" s="13" t="s">
        <v>47</v>
      </c>
      <c r="H20" s="48"/>
      <c r="I20" s="2" t="s">
        <v>67</v>
      </c>
      <c r="J20" s="51">
        <f>J15*J19+(1-J15)*J18</f>
        <v>1192.6080250838563</v>
      </c>
      <c r="K20" s="49" t="s">
        <v>37</v>
      </c>
      <c r="N20" s="12" t="s">
        <v>5</v>
      </c>
      <c r="O20" s="19">
        <v>2</v>
      </c>
      <c r="P20" s="20">
        <v>636.80001058828486</v>
      </c>
      <c r="Q20" s="20">
        <v>926.41853585119043</v>
      </c>
      <c r="R20" s="20"/>
      <c r="S20" s="19">
        <v>2</v>
      </c>
      <c r="T20" s="12" t="s">
        <v>5</v>
      </c>
      <c r="U20" s="19">
        <v>2</v>
      </c>
      <c r="V20" s="20">
        <v>27.063933364656002</v>
      </c>
      <c r="W20" s="20">
        <v>39.442952213063684</v>
      </c>
    </row>
    <row r="21" spans="1:23" x14ac:dyDescent="0.25">
      <c r="B21" s="40"/>
      <c r="C21" s="40"/>
      <c r="F21" s="16">
        <v>1</v>
      </c>
      <c r="G21" s="13">
        <v>19</v>
      </c>
      <c r="H21" s="48"/>
      <c r="I21" s="2"/>
      <c r="J21" s="2"/>
      <c r="K21" s="49"/>
      <c r="N21" s="12" t="s">
        <v>6</v>
      </c>
      <c r="O21" s="19">
        <v>3</v>
      </c>
      <c r="P21" s="20">
        <v>627.87806624268012</v>
      </c>
      <c r="Q21" s="20">
        <v>974.27673905065808</v>
      </c>
      <c r="R21" s="20"/>
      <c r="S21" s="19">
        <v>3</v>
      </c>
      <c r="T21" s="12" t="s">
        <v>6</v>
      </c>
      <c r="U21" s="19">
        <v>3</v>
      </c>
      <c r="V21" s="20">
        <v>26.699844574996956</v>
      </c>
      <c r="W21" s="20">
        <v>41.506122021131631</v>
      </c>
    </row>
    <row r="22" spans="1:23" x14ac:dyDescent="0.25">
      <c r="B22" s="40"/>
      <c r="C22" s="40"/>
      <c r="F22" s="16">
        <v>2</v>
      </c>
      <c r="G22" s="13">
        <v>25</v>
      </c>
      <c r="H22" s="48"/>
      <c r="I22" s="2" t="s">
        <v>54</v>
      </c>
      <c r="J22" s="52">
        <f>IF(J5=1,VLOOKUP($J$6,U7:W13,2),IF(J5=2,VLOOKUP($J$6,U19:W25,2),IF(J5=3,VLOOKUP($J$6,U31:W37,2),IF(J5=4,VLOOKUP($J$6,U43:W49,2),))))/100</f>
        <v>0.3276799106931445</v>
      </c>
      <c r="K22" s="49" t="s">
        <v>38</v>
      </c>
      <c r="N22" s="12" t="s">
        <v>7</v>
      </c>
      <c r="O22" s="19">
        <v>4</v>
      </c>
      <c r="P22" s="20">
        <v>629.77019075803162</v>
      </c>
      <c r="Q22" s="20">
        <v>976.16655119480515</v>
      </c>
      <c r="R22" s="20"/>
      <c r="S22" s="19">
        <v>4</v>
      </c>
      <c r="T22" s="12" t="s">
        <v>7</v>
      </c>
      <c r="U22" s="19">
        <v>4</v>
      </c>
      <c r="V22" s="20">
        <v>26.821207504883308</v>
      </c>
      <c r="W22" s="20">
        <v>41.627484951017983</v>
      </c>
    </row>
    <row r="23" spans="1:23" x14ac:dyDescent="0.25">
      <c r="A23" s="16" t="s">
        <v>72</v>
      </c>
      <c r="B23" s="45">
        <f>J7*J38</f>
        <v>49338.098777136758</v>
      </c>
      <c r="C23" s="40" t="s">
        <v>32</v>
      </c>
      <c r="F23" s="16">
        <v>3</v>
      </c>
      <c r="G23" s="13">
        <v>40</v>
      </c>
      <c r="H23" s="48"/>
      <c r="I23" s="2" t="s">
        <v>55</v>
      </c>
      <c r="J23" s="52">
        <f>IF(J5=1,VLOOKUP($J$6,U7:W13,3),IF(J5=2,VLOOKUP($J$6,U19:W25,3),IF(J5=3,VLOOKUP($J$6,U31:W37,3),IF(J5=4,VLOOKUP($J$6,U43:W49,3),))))/100</f>
        <v>0.5036561590283517</v>
      </c>
      <c r="K23" s="49" t="s">
        <v>38</v>
      </c>
      <c r="N23" s="12" t="s">
        <v>8</v>
      </c>
      <c r="O23" s="19">
        <v>5</v>
      </c>
      <c r="P23" s="20">
        <v>624.71018602008951</v>
      </c>
      <c r="Q23" s="20">
        <v>959.74424962110254</v>
      </c>
      <c r="R23" s="20"/>
      <c r="S23" s="19">
        <v>5</v>
      </c>
      <c r="T23" s="12" t="s">
        <v>8</v>
      </c>
      <c r="U23" s="19">
        <v>5</v>
      </c>
      <c r="V23" s="20">
        <v>26.457118715224254</v>
      </c>
      <c r="W23" s="20">
        <v>40.777944441813531</v>
      </c>
    </row>
    <row r="24" spans="1:23" x14ac:dyDescent="0.25">
      <c r="B24" s="53">
        <f>B23*10^-3</f>
        <v>49.338098777136757</v>
      </c>
      <c r="C24" s="23" t="s">
        <v>33</v>
      </c>
      <c r="F24" s="16">
        <v>4</v>
      </c>
      <c r="G24" s="13">
        <v>51</v>
      </c>
      <c r="H24" s="48"/>
      <c r="I24" s="2" t="s">
        <v>60</v>
      </c>
      <c r="J24" s="52">
        <f>J15*J23+(1-J15)*J22</f>
        <v>0.5036561590283517</v>
      </c>
      <c r="K24" s="49" t="s">
        <v>38</v>
      </c>
      <c r="N24" s="12" t="s">
        <v>9</v>
      </c>
      <c r="O24" s="19">
        <v>6</v>
      </c>
      <c r="P24" s="20">
        <v>635.61698525453937</v>
      </c>
      <c r="Q24" s="20">
        <v>970.6510488555524</v>
      </c>
      <c r="R24" s="20"/>
      <c r="S24" s="19">
        <v>6</v>
      </c>
      <c r="T24" s="12" t="s">
        <v>9</v>
      </c>
      <c r="U24" s="19">
        <v>6</v>
      </c>
      <c r="V24" s="20">
        <v>26.457118715224254</v>
      </c>
      <c r="W24" s="20">
        <v>40.777944441813531</v>
      </c>
    </row>
    <row r="25" spans="1:23" x14ac:dyDescent="0.25">
      <c r="B25" s="45">
        <f>B23/$J$34/$J$7</f>
        <v>24.669049388568379</v>
      </c>
      <c r="C25" s="40" t="s">
        <v>34</v>
      </c>
      <c r="D25" s="36" t="s">
        <v>64</v>
      </c>
      <c r="E25" s="35" t="s">
        <v>91</v>
      </c>
      <c r="F25" s="12" t="s">
        <v>91</v>
      </c>
      <c r="H25" s="48"/>
      <c r="I25" s="2" t="s">
        <v>65</v>
      </c>
      <c r="J25" s="52">
        <f>HIILIJALANJÄLKILASKURI!C14/100</f>
        <v>0</v>
      </c>
      <c r="K25" s="49" t="s">
        <v>38</v>
      </c>
      <c r="N25" s="12" t="s">
        <v>10</v>
      </c>
      <c r="O25" s="22">
        <v>7</v>
      </c>
      <c r="P25" s="20">
        <v>627.59454082615821</v>
      </c>
      <c r="Q25" s="20">
        <v>880.28927750422429</v>
      </c>
      <c r="R25" s="20"/>
      <c r="S25" s="22">
        <v>7</v>
      </c>
      <c r="T25" s="12" t="s">
        <v>10</v>
      </c>
      <c r="U25" s="22">
        <v>7</v>
      </c>
      <c r="V25" s="20">
        <v>26.214392855451557</v>
      </c>
      <c r="W25" s="20">
        <v>37.015693615336687</v>
      </c>
    </row>
    <row r="26" spans="1:23" x14ac:dyDescent="0.25">
      <c r="F26" s="16"/>
      <c r="G26" s="13" t="s">
        <v>57</v>
      </c>
      <c r="H26" s="48"/>
      <c r="I26" s="2" t="s">
        <v>66</v>
      </c>
      <c r="J26" s="52">
        <f>IF(J25&gt;0,J25,J24)</f>
        <v>0.5036561590283517</v>
      </c>
      <c r="K26" s="49" t="s">
        <v>38</v>
      </c>
      <c r="N26" s="12" t="s">
        <v>11</v>
      </c>
      <c r="P26" s="20">
        <v>630.27305041955083</v>
      </c>
      <c r="Q26" s="20">
        <v>961.66354216939681</v>
      </c>
      <c r="R26" s="20"/>
      <c r="S26" s="19"/>
      <c r="T26" s="12" t="s">
        <v>11</v>
      </c>
      <c r="V26" s="20">
        <v>26.562625948519955</v>
      </c>
      <c r="W26" s="20">
        <v>40.72761246419747</v>
      </c>
    </row>
    <row r="27" spans="1:23" x14ac:dyDescent="0.25">
      <c r="F27" s="16">
        <v>1</v>
      </c>
      <c r="G27" s="13">
        <f>32-19</f>
        <v>13</v>
      </c>
      <c r="H27" s="48"/>
      <c r="I27" s="2"/>
      <c r="J27" s="2"/>
      <c r="K27" s="49"/>
      <c r="S27" s="19"/>
    </row>
    <row r="28" spans="1:23" ht="16.2" x14ac:dyDescent="0.35">
      <c r="A28" s="16" t="s">
        <v>90</v>
      </c>
      <c r="B28" s="27">
        <f>(J16*B20+J34*B25)/(J16+J34)</f>
        <v>21.793700006265919</v>
      </c>
      <c r="C28" s="40" t="s">
        <v>87</v>
      </c>
      <c r="D28" s="36" t="s">
        <v>89</v>
      </c>
      <c r="E28" s="35" t="s">
        <v>91</v>
      </c>
      <c r="F28" s="16">
        <v>2</v>
      </c>
      <c r="G28" s="13">
        <f>40-25</f>
        <v>15</v>
      </c>
      <c r="H28" s="48"/>
      <c r="I28" s="2" t="s">
        <v>76</v>
      </c>
      <c r="J28" s="9">
        <f>IF(J25&gt;0,J25,J24)*$J$7</f>
        <v>25.182807951417587</v>
      </c>
      <c r="K28" s="49" t="s">
        <v>77</v>
      </c>
      <c r="N28" s="14" t="s">
        <v>21</v>
      </c>
      <c r="O28" s="14"/>
      <c r="S28" s="19"/>
      <c r="U28" s="14"/>
    </row>
    <row r="29" spans="1:23" x14ac:dyDescent="0.25">
      <c r="B29" s="43"/>
      <c r="C29" s="40"/>
      <c r="F29" s="16">
        <v>3</v>
      </c>
      <c r="G29" s="13">
        <f>60-40</f>
        <v>20</v>
      </c>
      <c r="H29" s="48"/>
      <c r="I29" s="2" t="s">
        <v>78</v>
      </c>
      <c r="J29" s="9">
        <f>J28*$J$8</f>
        <v>47.343678948665058</v>
      </c>
      <c r="K29" s="49" t="s">
        <v>73</v>
      </c>
      <c r="P29" s="14" t="s">
        <v>13</v>
      </c>
      <c r="S29" s="19"/>
      <c r="V29" s="14" t="s">
        <v>12</v>
      </c>
    </row>
    <row r="30" spans="1:23" x14ac:dyDescent="0.25">
      <c r="B30" s="26"/>
      <c r="C30" s="40"/>
      <c r="F30" s="16">
        <v>4</v>
      </c>
      <c r="G30" s="13">
        <f>76-51</f>
        <v>25</v>
      </c>
      <c r="H30" s="32"/>
      <c r="I30" s="26"/>
      <c r="J30" s="26"/>
      <c r="K30" s="31"/>
      <c r="N30" s="12" t="s">
        <v>1</v>
      </c>
      <c r="P30" s="12" t="s">
        <v>2</v>
      </c>
      <c r="Q30" s="12" t="s">
        <v>15</v>
      </c>
      <c r="S30" s="19"/>
      <c r="T30" s="12" t="s">
        <v>1</v>
      </c>
      <c r="V30" s="12" t="s">
        <v>2</v>
      </c>
      <c r="W30" s="12" t="s">
        <v>15</v>
      </c>
    </row>
    <row r="31" spans="1:23" x14ac:dyDescent="0.25">
      <c r="A31" s="14" t="s">
        <v>96</v>
      </c>
      <c r="H31" s="48" t="s">
        <v>72</v>
      </c>
      <c r="I31" s="2" t="s">
        <v>58</v>
      </c>
      <c r="J31" s="2">
        <f>B12</f>
        <v>20</v>
      </c>
      <c r="K31" s="49" t="s">
        <v>36</v>
      </c>
      <c r="M31" s="12">
        <v>3</v>
      </c>
      <c r="N31" s="12" t="s">
        <v>4</v>
      </c>
      <c r="O31" s="19">
        <v>1</v>
      </c>
      <c r="P31" s="20">
        <v>763.39390728485091</v>
      </c>
      <c r="Q31" s="20">
        <v>1156.5932526895622</v>
      </c>
      <c r="R31" s="20"/>
      <c r="S31" s="19">
        <v>1</v>
      </c>
      <c r="T31" s="12" t="s">
        <v>4</v>
      </c>
      <c r="U31" s="19">
        <v>1</v>
      </c>
      <c r="V31" s="20">
        <v>32.463369121110091</v>
      </c>
      <c r="W31" s="20">
        <v>49.26942430273855</v>
      </c>
    </row>
    <row r="32" spans="1:23" x14ac:dyDescent="0.25">
      <c r="A32" s="16" t="s">
        <v>71</v>
      </c>
      <c r="B32" s="21">
        <f>J26*100</f>
        <v>50.365615902835174</v>
      </c>
      <c r="C32" s="36" t="s">
        <v>44</v>
      </c>
      <c r="H32" s="2"/>
      <c r="I32" s="2" t="s">
        <v>62</v>
      </c>
      <c r="J32" s="2">
        <f>IF(J10&lt;=J31,J10,J31)</f>
        <v>20</v>
      </c>
      <c r="K32" s="49" t="s">
        <v>36</v>
      </c>
      <c r="N32" s="12" t="s">
        <v>5</v>
      </c>
      <c r="O32" s="19">
        <v>2</v>
      </c>
      <c r="P32" s="20">
        <v>775.58213822297</v>
      </c>
      <c r="Q32" s="20">
        <v>1175.1834192804104</v>
      </c>
      <c r="R32" s="20"/>
      <c r="S32" s="19">
        <v>2</v>
      </c>
      <c r="T32" s="12" t="s">
        <v>5</v>
      </c>
      <c r="U32" s="19">
        <v>2</v>
      </c>
      <c r="V32" s="20">
        <v>32.992663182867318</v>
      </c>
      <c r="W32" s="20">
        <v>50.072730133761453</v>
      </c>
    </row>
    <row r="33" spans="1:23" x14ac:dyDescent="0.25">
      <c r="A33" s="14"/>
      <c r="B33" s="25">
        <f>J28</f>
        <v>25.182807951417587</v>
      </c>
      <c r="C33" s="36" t="s">
        <v>97</v>
      </c>
      <c r="H33" s="2"/>
      <c r="I33" s="2" t="s">
        <v>100</v>
      </c>
      <c r="J33" s="50">
        <f>J32/J$10</f>
        <v>0.5</v>
      </c>
      <c r="K33" s="49"/>
      <c r="N33" s="12" t="s">
        <v>6</v>
      </c>
      <c r="O33" s="19">
        <v>3</v>
      </c>
      <c r="P33" s="20">
        <v>787.53716848829811</v>
      </c>
      <c r="Q33" s="20">
        <v>1193.5432062920102</v>
      </c>
      <c r="R33" s="20"/>
      <c r="S33" s="19">
        <v>3</v>
      </c>
      <c r="T33" s="12" t="s">
        <v>6</v>
      </c>
      <c r="U33" s="19">
        <v>3</v>
      </c>
      <c r="V33" s="20">
        <v>33.521957244624552</v>
      </c>
      <c r="W33" s="20">
        <v>50.876035964784371</v>
      </c>
    </row>
    <row r="34" spans="1:23" x14ac:dyDescent="0.25">
      <c r="B34" s="21">
        <f>J29</f>
        <v>47.343678948665058</v>
      </c>
      <c r="C34" s="36" t="s">
        <v>98</v>
      </c>
      <c r="H34" s="2"/>
      <c r="I34" s="2" t="s">
        <v>63</v>
      </c>
      <c r="J34" s="2">
        <f>J32+J$11</f>
        <v>40</v>
      </c>
      <c r="K34" s="49" t="s">
        <v>36</v>
      </c>
      <c r="N34" s="12" t="s">
        <v>7</v>
      </c>
      <c r="O34" s="19">
        <v>4</v>
      </c>
      <c r="P34" s="20">
        <v>807.21608430479046</v>
      </c>
      <c r="Q34" s="20">
        <v>1223.9032992350901</v>
      </c>
      <c r="R34" s="20"/>
      <c r="S34" s="19">
        <v>4</v>
      </c>
      <c r="T34" s="12" t="s">
        <v>7</v>
      </c>
      <c r="U34" s="19">
        <v>4</v>
      </c>
      <c r="V34" s="20">
        <v>34.404114014219942</v>
      </c>
      <c r="W34" s="20">
        <v>52.214879016489228</v>
      </c>
    </row>
    <row r="35" spans="1:23" x14ac:dyDescent="0.25">
      <c r="H35" s="2"/>
      <c r="I35" s="2"/>
      <c r="J35" s="2"/>
      <c r="K35" s="49"/>
      <c r="N35" s="12" t="s">
        <v>8</v>
      </c>
      <c r="O35" s="19">
        <v>5</v>
      </c>
      <c r="P35" s="20">
        <v>790.00359462559209</v>
      </c>
      <c r="Q35" s="20">
        <v>1195.9955896666602</v>
      </c>
      <c r="R35" s="20"/>
      <c r="S35" s="19">
        <v>5</v>
      </c>
      <c r="T35" s="12" t="s">
        <v>8</v>
      </c>
      <c r="U35" s="19">
        <v>5</v>
      </c>
      <c r="V35" s="20">
        <v>33.521957244624552</v>
      </c>
      <c r="W35" s="20">
        <v>50.876035964784371</v>
      </c>
    </row>
    <row r="36" spans="1:23" x14ac:dyDescent="0.25">
      <c r="A36" s="16" t="s">
        <v>72</v>
      </c>
      <c r="B36" s="21">
        <f>J44*100</f>
        <v>41.566803486074811</v>
      </c>
      <c r="C36" s="36" t="s">
        <v>44</v>
      </c>
      <c r="H36" s="2"/>
      <c r="I36" s="2" t="s">
        <v>53</v>
      </c>
      <c r="J36" s="51">
        <f>IF(J5=1,VLOOKUP($J$6,O7:Q13,2),IF(J5=2,VLOOKUP($J$6,O19:Q25,2),IF(J5=3,VLOOKUP($J$6,O31:Q37,2),IF(J5=4,VLOOKUP($J$6,O43:Q49,2),))))</f>
        <v>780.91592600161414</v>
      </c>
      <c r="K36" s="49" t="s">
        <v>37</v>
      </c>
      <c r="N36" s="12" t="s">
        <v>9</v>
      </c>
      <c r="O36" s="19">
        <v>6</v>
      </c>
      <c r="P36" s="20">
        <v>800.91039386004195</v>
      </c>
      <c r="Q36" s="20">
        <v>1206.90238890111</v>
      </c>
      <c r="R36" s="20"/>
      <c r="S36" s="19">
        <v>6</v>
      </c>
      <c r="T36" s="12" t="s">
        <v>9</v>
      </c>
      <c r="U36" s="19">
        <v>6</v>
      </c>
      <c r="V36" s="20">
        <v>33.521957244624552</v>
      </c>
      <c r="W36" s="20">
        <v>50.876035964784371</v>
      </c>
    </row>
    <row r="37" spans="1:23" x14ac:dyDescent="0.25">
      <c r="A37" s="14"/>
      <c r="B37" s="25">
        <f>J46</f>
        <v>20.783401743037405</v>
      </c>
      <c r="C37" s="36" t="s">
        <v>97</v>
      </c>
      <c r="H37" s="2"/>
      <c r="I37" s="2" t="s">
        <v>52</v>
      </c>
      <c r="J37" s="51">
        <f>IF(J5=1,VLOOKUP($J$6,O7:Q13,3),IF(J5=2,VLOOKUP($J$6,O19:Q25,3),IF(J5=3,VLOOKUP($J$6,O31:Q37,3),IF(J5=4,VLOOKUP($J$6,O43:Q49,3),))))</f>
        <v>1192.6080250838563</v>
      </c>
      <c r="K37" s="49" t="s">
        <v>37</v>
      </c>
      <c r="N37" s="12" t="s">
        <v>10</v>
      </c>
      <c r="O37" s="22">
        <v>7</v>
      </c>
      <c r="P37" s="20">
        <v>780.91592600161414</v>
      </c>
      <c r="Q37" s="20">
        <v>1192.6080250838563</v>
      </c>
      <c r="R37" s="20"/>
      <c r="S37" s="22">
        <v>7</v>
      </c>
      <c r="T37" s="12" t="s">
        <v>10</v>
      </c>
      <c r="U37" s="22">
        <v>7</v>
      </c>
      <c r="V37" s="20">
        <v>32.767991069314448</v>
      </c>
      <c r="W37" s="20">
        <v>50.365615902835167</v>
      </c>
    </row>
    <row r="38" spans="1:23" x14ac:dyDescent="0.25">
      <c r="B38" s="21">
        <f>J47</f>
        <v>39.07279527691032</v>
      </c>
      <c r="C38" s="36" t="s">
        <v>98</v>
      </c>
      <c r="H38" s="2"/>
      <c r="I38" s="2" t="s">
        <v>67</v>
      </c>
      <c r="J38" s="51">
        <f>J33*J37+(1-J33)*J36</f>
        <v>986.76197554273517</v>
      </c>
      <c r="K38" s="49" t="s">
        <v>37</v>
      </c>
      <c r="N38" s="12" t="s">
        <v>11</v>
      </c>
      <c r="P38" s="20">
        <v>796.45386585629194</v>
      </c>
      <c r="Q38" s="20">
        <v>1205.4493619814152</v>
      </c>
      <c r="R38" s="20"/>
      <c r="T38" s="12" t="s">
        <v>11</v>
      </c>
      <c r="V38" s="20">
        <v>33.664845882147645</v>
      </c>
      <c r="W38" s="20">
        <v>51.147103210537935</v>
      </c>
    </row>
    <row r="39" spans="1:23" x14ac:dyDescent="0.25">
      <c r="H39" s="2"/>
      <c r="I39" s="2"/>
      <c r="J39" s="2"/>
      <c r="K39" s="49"/>
    </row>
    <row r="40" spans="1:23" x14ac:dyDescent="0.25">
      <c r="A40" s="16" t="s">
        <v>90</v>
      </c>
      <c r="B40" s="41">
        <f>B33+B37</f>
        <v>45.966209694454989</v>
      </c>
      <c r="C40" s="30" t="s">
        <v>97</v>
      </c>
      <c r="H40" s="2"/>
      <c r="I40" s="2" t="s">
        <v>54</v>
      </c>
      <c r="J40" s="52">
        <f>IF(J5=1,VLOOKUP($J$6,U7:W13,2),IF(J5=2,VLOOKUP($J$6,U19:W25,2),IF(J5=3,VLOOKUP($J$6,U31:W37,2),IF(J5=4,VLOOKUP($J$6,U43:W49,2),))))/100</f>
        <v>0.3276799106931445</v>
      </c>
      <c r="K40" s="49" t="s">
        <v>38</v>
      </c>
      <c r="N40" s="14" t="s">
        <v>22</v>
      </c>
      <c r="O40" s="14"/>
      <c r="U40" s="14"/>
    </row>
    <row r="41" spans="1:23" x14ac:dyDescent="0.25">
      <c r="B41" s="42">
        <f>B34+B38</f>
        <v>86.416474225575371</v>
      </c>
      <c r="C41" s="29" t="s">
        <v>98</v>
      </c>
      <c r="H41" s="2"/>
      <c r="I41" s="2" t="s">
        <v>55</v>
      </c>
      <c r="J41" s="52">
        <f>IF(J5=1,VLOOKUP($J$6,U7:W13,3),IF(J5=2,VLOOKUP($J$6,U19:W25,3),IF(J5=3,VLOOKUP($J$6,U31:W37,3),IF(J5=4,VLOOKUP($J$6,U43:W49,3),))))/100</f>
        <v>0.5036561590283517</v>
      </c>
      <c r="K41" s="49" t="s">
        <v>38</v>
      </c>
      <c r="P41" s="14" t="s">
        <v>13</v>
      </c>
      <c r="V41" s="14" t="s">
        <v>12</v>
      </c>
    </row>
    <row r="42" spans="1:23" x14ac:dyDescent="0.25">
      <c r="E42" s="35" t="s">
        <v>91</v>
      </c>
      <c r="H42" s="2"/>
      <c r="I42" s="2" t="s">
        <v>60</v>
      </c>
      <c r="J42" s="52">
        <f>J33*J41+(1-J33)*J40</f>
        <v>0.4156680348607481</v>
      </c>
      <c r="K42" s="49" t="s">
        <v>38</v>
      </c>
      <c r="N42" s="12" t="s">
        <v>1</v>
      </c>
      <c r="P42" s="12" t="s">
        <v>2</v>
      </c>
      <c r="Q42" s="12" t="s">
        <v>16</v>
      </c>
      <c r="T42" s="12" t="s">
        <v>1</v>
      </c>
      <c r="V42" s="12" t="s">
        <v>2</v>
      </c>
      <c r="W42" s="12" t="s">
        <v>16</v>
      </c>
    </row>
    <row r="43" spans="1:23" x14ac:dyDescent="0.25">
      <c r="A43" s="14"/>
      <c r="E43" s="35" t="s">
        <v>91</v>
      </c>
      <c r="H43" s="2"/>
      <c r="I43" s="2" t="s">
        <v>65</v>
      </c>
      <c r="J43" s="52">
        <f>HIILIJALANJÄLKILASKURI!C17/100</f>
        <v>0</v>
      </c>
      <c r="K43" s="49" t="s">
        <v>38</v>
      </c>
      <c r="M43" s="12">
        <v>4</v>
      </c>
      <c r="N43" s="12" t="s">
        <v>4</v>
      </c>
      <c r="O43" s="19">
        <v>1</v>
      </c>
      <c r="S43" s="19">
        <v>1</v>
      </c>
      <c r="T43" s="12" t="s">
        <v>4</v>
      </c>
      <c r="U43" s="19">
        <v>1</v>
      </c>
    </row>
    <row r="44" spans="1:23" x14ac:dyDescent="0.25">
      <c r="A44" s="16" t="s">
        <v>71</v>
      </c>
      <c r="B44" s="37">
        <f>B34/$J$16/$J$7</f>
        <v>1.5781226316221687E-2</v>
      </c>
      <c r="C44" s="36" t="s">
        <v>74</v>
      </c>
      <c r="D44" s="36" t="s">
        <v>64</v>
      </c>
      <c r="E44" s="35" t="s">
        <v>91</v>
      </c>
      <c r="H44" s="48"/>
      <c r="I44" s="2" t="s">
        <v>66</v>
      </c>
      <c r="J44" s="52">
        <f>IF(J43&gt;0,J43,J42)</f>
        <v>0.4156680348607481</v>
      </c>
      <c r="K44" s="49" t="s">
        <v>38</v>
      </c>
      <c r="N44" s="12" t="s">
        <v>5</v>
      </c>
      <c r="O44" s="19">
        <v>2</v>
      </c>
      <c r="S44" s="19">
        <v>2</v>
      </c>
      <c r="T44" s="12" t="s">
        <v>5</v>
      </c>
      <c r="U44" s="19">
        <v>2</v>
      </c>
    </row>
    <row r="45" spans="1:23" x14ac:dyDescent="0.25">
      <c r="B45" s="21">
        <f>B44*100</f>
        <v>1.5781226316221686</v>
      </c>
      <c r="C45" s="36" t="s">
        <v>94</v>
      </c>
      <c r="E45" s="35" t="s">
        <v>91</v>
      </c>
      <c r="H45" s="2"/>
      <c r="I45" s="2"/>
      <c r="J45" s="2"/>
      <c r="K45" s="49"/>
      <c r="N45" s="12" t="s">
        <v>6</v>
      </c>
      <c r="O45" s="19">
        <v>3</v>
      </c>
      <c r="S45" s="19">
        <v>3</v>
      </c>
      <c r="T45" s="12" t="s">
        <v>6</v>
      </c>
      <c r="U45" s="19">
        <v>3</v>
      </c>
    </row>
    <row r="46" spans="1:23" x14ac:dyDescent="0.25">
      <c r="E46" s="35" t="s">
        <v>91</v>
      </c>
      <c r="H46" s="2"/>
      <c r="I46" s="2" t="s">
        <v>76</v>
      </c>
      <c r="J46" s="9">
        <f>IF(J43&gt;0,J43,J42)*$J$7</f>
        <v>20.783401743037405</v>
      </c>
      <c r="K46" s="49" t="s">
        <v>77</v>
      </c>
      <c r="N46" s="12" t="s">
        <v>7</v>
      </c>
      <c r="O46" s="19">
        <v>4</v>
      </c>
      <c r="S46" s="19">
        <v>4</v>
      </c>
      <c r="T46" s="12" t="s">
        <v>7</v>
      </c>
      <c r="U46" s="19">
        <v>4</v>
      </c>
    </row>
    <row r="47" spans="1:23" x14ac:dyDescent="0.25">
      <c r="A47" s="16" t="s">
        <v>72</v>
      </c>
      <c r="B47" s="37">
        <f>B38/$J$34/$J$7</f>
        <v>1.9536397638455161E-2</v>
      </c>
      <c r="C47" s="36" t="s">
        <v>74</v>
      </c>
      <c r="D47" s="36" t="s">
        <v>64</v>
      </c>
      <c r="E47" s="35" t="s">
        <v>91</v>
      </c>
      <c r="H47" s="2"/>
      <c r="I47" s="2" t="s">
        <v>78</v>
      </c>
      <c r="J47" s="9">
        <f>J46*$J$8</f>
        <v>39.07279527691032</v>
      </c>
      <c r="K47" s="49" t="s">
        <v>73</v>
      </c>
      <c r="N47" s="12" t="s">
        <v>8</v>
      </c>
      <c r="O47" s="19">
        <v>5</v>
      </c>
      <c r="S47" s="19">
        <v>5</v>
      </c>
      <c r="T47" s="12" t="s">
        <v>8</v>
      </c>
      <c r="U47" s="19">
        <v>5</v>
      </c>
    </row>
    <row r="48" spans="1:23" x14ac:dyDescent="0.25">
      <c r="B48" s="21">
        <f>B47*100</f>
        <v>1.9536397638455161</v>
      </c>
      <c r="C48" s="36" t="s">
        <v>94</v>
      </c>
      <c r="E48" s="35" t="s">
        <v>91</v>
      </c>
      <c r="N48" s="12" t="s">
        <v>9</v>
      </c>
      <c r="O48" s="19">
        <v>6</v>
      </c>
      <c r="S48" s="19">
        <v>6</v>
      </c>
      <c r="T48" s="12" t="s">
        <v>9</v>
      </c>
      <c r="U48" s="19">
        <v>6</v>
      </c>
    </row>
    <row r="49" spans="1:23" x14ac:dyDescent="0.25">
      <c r="E49" s="35" t="s">
        <v>91</v>
      </c>
      <c r="N49" s="12" t="s">
        <v>10</v>
      </c>
      <c r="O49" s="22">
        <v>7</v>
      </c>
      <c r="P49" s="20">
        <v>871.50216160715104</v>
      </c>
      <c r="Q49" s="20">
        <v>1431.6578077252773</v>
      </c>
      <c r="R49" s="20"/>
      <c r="S49" s="22">
        <v>7</v>
      </c>
      <c r="T49" s="12" t="s">
        <v>10</v>
      </c>
      <c r="U49" s="22">
        <v>7</v>
      </c>
      <c r="V49" s="20">
        <v>36.614613404648281</v>
      </c>
      <c r="W49" s="20">
        <v>60.532819626650095</v>
      </c>
    </row>
    <row r="50" spans="1:23" x14ac:dyDescent="0.25">
      <c r="A50" s="16" t="s">
        <v>90</v>
      </c>
      <c r="B50" s="39">
        <f>(J16*B44+J34*B47)/(J16+J34)</f>
        <v>1.7283294845115076E-2</v>
      </c>
      <c r="C50" s="40" t="s">
        <v>74</v>
      </c>
      <c r="D50" s="38" t="s">
        <v>92</v>
      </c>
      <c r="E50" s="35" t="s">
        <v>91</v>
      </c>
      <c r="N50" s="12" t="s">
        <v>11</v>
      </c>
      <c r="P50" s="20">
        <v>871.50216160715104</v>
      </c>
      <c r="Q50" s="20">
        <v>1431.6578077252773</v>
      </c>
      <c r="R50" s="20"/>
      <c r="T50" s="12" t="s">
        <v>11</v>
      </c>
      <c r="V50" s="20">
        <v>36.614613404648281</v>
      </c>
      <c r="W50" s="20">
        <v>60.532819626650095</v>
      </c>
    </row>
    <row r="51" spans="1:23" x14ac:dyDescent="0.25">
      <c r="B51" s="21">
        <f>B50*100</f>
        <v>1.7283294845115076</v>
      </c>
      <c r="C51" s="36" t="s">
        <v>94</v>
      </c>
      <c r="E51" s="35" t="s">
        <v>91</v>
      </c>
    </row>
    <row r="52" spans="1:23" x14ac:dyDescent="0.25">
      <c r="E52" s="35" t="s">
        <v>91</v>
      </c>
      <c r="I52" s="44"/>
      <c r="J52" s="45"/>
      <c r="K52" s="31"/>
    </row>
    <row r="53" spans="1:23" x14ac:dyDescent="0.25">
      <c r="B53" s="37">
        <f>(J16*(B34/$J$16)+J34*(B38/$J$34))/(J16+J34)</f>
        <v>0.86416474225575368</v>
      </c>
      <c r="C53" s="36" t="s">
        <v>93</v>
      </c>
      <c r="D53" s="38" t="s">
        <v>92</v>
      </c>
      <c r="E53" s="35" t="s">
        <v>91</v>
      </c>
      <c r="I53" s="40"/>
      <c r="J53" s="46"/>
      <c r="K53" s="31"/>
    </row>
    <row r="54" spans="1:23" x14ac:dyDescent="0.25">
      <c r="B54" s="21">
        <f>B53*100</f>
        <v>86.416474225575371</v>
      </c>
      <c r="C54" s="36" t="s">
        <v>95</v>
      </c>
      <c r="E54" s="35" t="s">
        <v>91</v>
      </c>
      <c r="I54" s="40"/>
      <c r="J54" s="40"/>
      <c r="K54" s="31"/>
    </row>
    <row r="55" spans="1:23" x14ac:dyDescent="0.25">
      <c r="E55" s="35" t="s">
        <v>91</v>
      </c>
      <c r="I55" s="40"/>
      <c r="J55" s="45"/>
      <c r="K55" s="31"/>
    </row>
    <row r="56" spans="1:23" x14ac:dyDescent="0.25">
      <c r="E56" s="35" t="s">
        <v>91</v>
      </c>
    </row>
    <row r="61" spans="1:23" x14ac:dyDescent="0.25">
      <c r="J61" s="47"/>
      <c r="K61" s="3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<ct:contentTypeSchema ct:_="" ma:_="" ma:contentTypeName="Document" ma:contentTypeID="0x010100AB10201FFE26AE41A703CA7E8158DC57" ma:contentTypeVersion="0" ma:contentTypeDescription="Create a new document." ma:contentTypeScope="" ma:versionID="d977708b60dd2a370aa1ac6c2c7117c0" xmlns:ct="http://schemas.microsoft.com/office/2006/metadata/contentType" xmlns:ma="http://schemas.microsoft.com/office/2006/metadata/properties/metaAttributes">
<xsd:schema targetNamespace="http://schemas.microsoft.com/office/2006/metadata/properties" ma:root="true" ma:fieldsID="d2dad8d00024f06655d6a1129939ab7e" ns2:_="" xmlns:xsd="http://www.w3.org/2001/XMLSchema" xmlns:xs="http://www.w3.org/2001/XMLSchema" xmlns:p="http://schemas.microsoft.com/office/2006/metadata/properties" xmlns:ns2="$ListId:Shared Documents;">
<xsd:import namespace="$ListId:Shared Documents;"/>
<xsd:element name="properties">
<xsd:complexType>
<xsd:sequence>
<xsd:element name="documentManagement">
<xsd:complexType>
<xsd:all>
<xsd:element ref="ns2:Author0" minOccurs="0"/>
</xsd:all>
</xsd:complexType>
</xsd:element>
</xsd:sequence>
</xsd:complexType>
</xsd:element>
</xsd:schema>
<xsd:schema targetNamespace="$ListId:Shared Documents;" elementFormDefault="qualified" xmlns:xsd="http://www.w3.org/2001/XMLSchema" xmlns:xs="http://www.w3.org/2001/XMLSchema" xmlns:dms="http://schemas.microsoft.com/office/2006/documentManagement/types" xmlns:pc="http://schemas.microsoft.com/office/infopath/2007/PartnerControls">
<xsd:import namespace="http://schemas.microsoft.com/office/2006/documentManagement/types"/>
<xsd:import namespace="http://schemas.microsoft.com/office/infopath/2007/PartnerControls"/>
<xsd:element name="Author0" ma:index="8" nillable="true" ma:displayName="Author" ma:internalName="Author0">
<xsd:simpleType>
<xsd:restriction base="dms:Text">
<xsd:maxLength value="255"/>
</xsd:restriction>
</xsd:simpleType>
</xsd:element>
</xsd:schema>
<xsd:schema targetNamespace="http://schemas.openxmlformats.org/package/2006/metadata/core-properties" elementFormDefault="qualified" attributeFormDefault="unqualified" blockDefault="#all"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>
<xsd:import namespace="http://purl.org/dc/elements/1.1/" schemaLocation="http://dublincore.org/schemas/xmls/qdc/2003/04/02/dc.xsd"/>
<xsd:import namespace="http://purl.org/dc/terms/" schemaLocation="http://dublincore.org/schemas/xmls/qdc/2003/04/02/dcterms.xsd"/>
<xsd:element name="coreProperties" type="CT_coreProperties"/>
<xsd:complexType name="CT_coreProperties">
<xsd:all>
<xsd:element ref="dc:creator" minOccurs="0" maxOccurs="1"/>
<xsd:element ref="dcterms:created" minOccurs="0" maxOccurs="1"/>
<xsd:element ref="dc:identifier" minOccurs="0" maxOccurs="1"/>
<xsd:element name="contentType" minOccurs="0" maxOccurs="1" type="xsd:string" ma:index="0" ma:displayName="Content Type"/>
<xsd:element ref="dc:title" minOccurs="0" maxOccurs="1" ma:index="4" ma:displayName="Title"/>
<xsd:element ref="dc:subject" minOccurs="0" maxOccurs="1"/>
<xsd:element ref="dc:description" minOccurs="0" maxOccurs="1"/>
<xsd:element name="keywords" minOccurs="0" maxOccurs="1" type="xsd:string"/>
<xsd:element ref="dc:language" minOccurs="0" maxOccurs="1"/>
<xsd:element name="category" minOccurs="0" maxOccurs="1" type="xsd:string"/>
<xsd:element name="version" minOccurs="0" maxOccurs="1" type="xsd:string"/>
<xsd:element name="revision" minOccurs="0" maxOccurs="1" type="xsd:string">
<xsd:annotation>
<xsd:documentation>
                        This value indicates the number of saves or revisions. The application is responsible for updating this value after each revision.
                    </xsd:documentation>
</xsd:annotation>
</xsd:element>
<xsd:element name="lastModifiedBy" minOccurs="0" maxOccurs="1" type="xsd:string"/>
<xsd:element ref="dcterms:modified" minOccurs="0" maxOccurs="1"/>
<xsd:element name="contentStatus" minOccurs="0" maxOccurs="1" type="xsd:string"/>
</xsd:all>
</xsd:complexType>
</xsd:schema>
<xs:schema targetNamespace="http://schemas.microsoft.com/office/infopath/2007/PartnerControls" elementFormDefault="qualified" attributeFormDefault="unqualified" xmlns:pc="http://schemas.microsoft.com/office/infopath/2007/PartnerControls" xmlns:xs="http://www.w3.org/2001/XMLSchema">
<xs:element name="Person">
<xs:complexType>
<xs:sequence>
<xs:element ref="pc:DisplayName" minOccurs="0"></xs:element>
<xs:element ref="pc:AccountId" minOccurs="0"></xs:element>
<xs:element ref="pc:AccountType" minOccurs="0"></xs:element>
</xs:sequence>
</xs:complexType>
</xs:element>
<xs:element name="DisplayName" type="xs:string"></xs:element>
<xs:element name="AccountId" type="xs:string"></xs:element>
<xs:element name="AccountType" type="xs:string"></xs:element>
<xs:element name="BDCAssociatedEntity">
<xs:complexType>
<xs:sequence>
<xs:element ref="pc:BDCEntity" minOccurs="0" maxOccurs="unbounded"></xs:element>
</xs:sequence>
<xs:attribute ref="pc:EntityNamespace"></xs:attribute>
<xs:attribute ref="pc:EntityName"></xs:attribute>
<xs:attribute ref="pc:SystemInstanceName"></xs:attribute>
<xs:attribute ref="pc:AssociationName"></xs:attribute>
</xs:complexType>
</xs:element>
<xs:attribute name="EntityNamespace" type="xs:string"></xs:attribute>
<xs:attribute name="EntityName" type="xs:string"></xs:attribute>
<xs:attribute name="SystemInstanceName" type="xs:string"></xs:attribute>
<xs:attribute name="AssociationName" type="xs:string"></xs:attribute>
<xs:element name="BDCEntity">
<xs:complexType>
<xs:sequence>
<xs:element ref="pc:EntityDisplayName" minOccurs="0"></xs:element>
<xs:element ref="pc:EntityInstanceReference" minOccurs="0"></xs:element>
<xs:element ref="pc:EntityId1" minOccurs="0"></xs:element>
<xs:element ref="pc:EntityId2" minOccurs="0"></xs:element>
<xs:element ref="pc:EntityId3" minOccurs="0"></xs:element>
<xs:element ref="pc:EntityId4" minOccurs="0"></xs:element>
<xs:element ref="pc:EntityId5" minOccurs="0"></xs:element>
</xs:sequence>
</xs:complexType>
</xs:element>
<xs:element name="EntityDisplayName" type="xs:string"></xs:element>
<xs:element name="EntityInstanceReference" type="xs:string"></xs:element>
<xs:element name="EntityId1" type="xs:string"></xs:element>
<xs:element name="EntityId2" type="xs:string"></xs:element>
<xs:element name="EntityId3" type="xs:string"></xs:element>
<xs:element name="EntityId4" type="xs:string"></xs:element>
<xs:element name="EntityId5" type="xs:string"></xs:element>
<xs:element name="Terms">
<xs:complexType>
<xs:sequence>
<xs:element ref="pc:TermInfo" minOccurs="0" maxOccurs="unbounded"></xs:element>
</xs:sequence>
</xs:complexType>
</xs:element>
<xs:element name="TermInfo">
<xs:complexType>
<xs:sequence>
<xs:element ref="pc:TermName" minOccurs="0"></xs:element>
<xs:element ref="pc:TermId" minOccurs="0"></xs:element>
</xs:sequence>
</xs:complexType>
</xs:element>
<xs:element name="TermName" type="xs:string"></xs:element>
<xs:element name="TermId" type="xs:string"></xs:element>
</xs:schema>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<p:properties xmlns:p="http://schemas.microsoft.com/office/2006/metadata/properties" xmlns:xsi="http://www.w3.org/2001/XMLSchema-instance" xmlns:pc="http://schemas.microsoft.com/office/infopath/2007/PartnerControls"><documentManagement><Author0 xmlns="$ListId:Shared Documents;" xsi:nil="true"/></documentManagement></p:properties>
</file>

<file path=customXml/itemProps1.xml><?xml version="1.0" encoding="utf-8"?>
<ds:datastoreItem xmlns:ds="http://schemas.openxmlformats.org/officeDocument/2006/customXml" ds:itemID="{B394F533-C346-4B25-86E2-38C4863D61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Shared Documents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B0A328-9EDE-4FD7-A033-D36FCC3F3F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237C99-311F-4A81-9DF6-41C65DC909D9}">
  <ds:schemaRefs>
    <ds:schemaRef ds:uri="http://schemas.microsoft.com/office/2006/metadata/properties"/>
    <ds:schemaRef ds:uri="http://schemas.microsoft.com/office/infopath/2007/PartnerControls"/>
    <ds:schemaRef ds:uri="$ListId:Shared Documents;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HIILIJALANJÄLKILASKURI</vt:lpstr>
      <vt:lpstr>LASKURI + LIPASTO, ÄLÄ MUUTA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Mäkelä</dc:creator>
  <cp:lastModifiedBy>Haapalainen Nelly</cp:lastModifiedBy>
  <dcterms:created xsi:type="dcterms:W3CDTF">2018-09-13T20:59:47Z</dcterms:created>
  <dcterms:modified xsi:type="dcterms:W3CDTF">2022-03-30T14:56:04Z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0x010100AB10201FFE26AE41A703CA7E8158DC57</vt:lpwstr>
  </property>
  <property fmtid="{D5CDD505-2E9C-101B-9397-08002B2CF9AE}" pid="3" name="MSIP_Label_43f08ec5-d6d9-4227-8387-ccbfcb3632c4_Enabled">
    <vt:lpwstr>true</vt:lpwstr>
  </property>
  <property fmtid="{D5CDD505-2E9C-101B-9397-08002B2CF9AE}" pid="4" name="MSIP_Label_43f08ec5-d6d9-4227-8387-ccbfcb3632c4_SetDate">
    <vt:lpwstr>2022-02-21T11:09:38Z</vt:lpwstr>
  </property>
  <property fmtid="{D5CDD505-2E9C-101B-9397-08002B2CF9AE}" pid="5" name="MSIP_Label_43f08ec5-d6d9-4227-8387-ccbfcb3632c4_Method">
    <vt:lpwstr>Standard</vt:lpwstr>
  </property>
  <property fmtid="{D5CDD505-2E9C-101B-9397-08002B2CF9AE}" pid="6" name="MSIP_Label_43f08ec5-d6d9-4227-8387-ccbfcb3632c4_Name">
    <vt:lpwstr>Sweco Restricted</vt:lpwstr>
  </property>
  <property fmtid="{D5CDD505-2E9C-101B-9397-08002B2CF9AE}" pid="7" name="MSIP_Label_43f08ec5-d6d9-4227-8387-ccbfcb3632c4_SiteId">
    <vt:lpwstr>b7872ef0-9a00-4c18-8a4a-c7d25c778a9e</vt:lpwstr>
  </property>
  <property fmtid="{D5CDD505-2E9C-101B-9397-08002B2CF9AE}" pid="8" name="MSIP_Label_43f08ec5-d6d9-4227-8387-ccbfcb3632c4_ActionId">
    <vt:lpwstr>ec9d2818-8b5d-4aeb-8c31-ca3879fef4fc</vt:lpwstr>
  </property>
  <property fmtid="{D5CDD505-2E9C-101B-9397-08002B2CF9AE}" pid="9" name="MSIP_Label_43f08ec5-d6d9-4227-8387-ccbfcb3632c4_ContentBits">
    <vt:lpwstr>0</vt:lpwstr>
  </property>
</Properties>
</file>